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8730" windowHeight="10515" activeTab="0"/>
  </bookViews>
  <sheets>
    <sheet name="1817t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postel</author>
    <author>Gilles Postel-Vinay</author>
    <author>Un utilisateur satisfait de Microsoft Office</author>
  </authors>
  <commentList>
    <comment ref="I2264" authorId="0">
      <text>
        <r>
          <rPr>
            <b/>
            <sz val="8"/>
            <rFont val="Tahoma"/>
            <family val="0"/>
          </rPr>
          <t>postel:</t>
        </r>
        <r>
          <rPr>
            <sz val="8"/>
            <rFont val="Tahoma"/>
            <family val="0"/>
          </rPr>
          <t xml:space="preserve">
les 99,6=mob; les 30=arrérages d'une rv
</t>
        </r>
      </text>
    </comment>
    <comment ref="J118" authorId="0">
      <text>
        <r>
          <rPr>
            <b/>
            <sz val="8"/>
            <rFont val="Tahoma"/>
            <family val="0"/>
          </rPr>
          <t>postel:</t>
        </r>
        <r>
          <rPr>
            <sz val="8"/>
            <rFont val="Tahoma"/>
            <family val="0"/>
          </rPr>
          <t xml:space="preserve">
"loyers et fermages"
voir inventaire chez le notaire Boulard : 12/5/1817</t>
        </r>
      </text>
    </comment>
    <comment ref="J2579" authorId="1">
      <text>
        <r>
          <rPr>
            <b/>
            <sz val="8"/>
            <rFont val="Tahoma"/>
            <family val="0"/>
          </rPr>
          <t>Gilles Postel-Vinay:</t>
        </r>
        <r>
          <rPr>
            <sz val="8"/>
            <rFont val="Tahoma"/>
            <family val="0"/>
          </rPr>
          <t xml:space="preserve">
LE REVENU N'EST PAS INDIQUE . DANS LES OBS TOMBE EN NON VALEUR
</t>
        </r>
      </text>
    </comment>
    <comment ref="I2847" authorId="2">
      <text>
        <r>
          <rPr>
            <sz val="8"/>
            <rFont val="Tahoma"/>
            <family val="0"/>
          </rPr>
          <t>postel:
200 de r sur l'Etat, mais il n'est rien dû car il s'agit d'un mineur et ds ce cas, larrérage appartient de droit au père
je mets 1, (fol 178)</t>
        </r>
      </text>
    </comment>
    <comment ref="I2896" authorId="2">
      <text>
        <r>
          <rPr>
            <sz val="8"/>
            <rFont val="Tahoma"/>
            <family val="0"/>
          </rPr>
          <t xml:space="preserve">8560 de r sur l'ET
:
</t>
        </r>
      </text>
    </comment>
    <comment ref="I2901" authorId="2">
      <text>
        <r>
          <rPr>
            <sz val="8"/>
            <rFont val="Tahoma"/>
            <family val="0"/>
          </rPr>
          <t xml:space="preserve">
 r sur l'ET:
</t>
        </r>
      </text>
    </comment>
    <comment ref="I2914" authorId="2">
      <text>
        <r>
          <rPr>
            <sz val="8"/>
            <rFont val="Tahoma"/>
            <family val="0"/>
          </rPr>
          <t>postel:
r sur l'etat</t>
        </r>
      </text>
    </comment>
  </commentList>
</comments>
</file>

<file path=xl/sharedStrings.xml><?xml version="1.0" encoding="utf-8"?>
<sst xmlns="http://schemas.openxmlformats.org/spreadsheetml/2006/main" count="22516" uniqueCount="6006">
  <si>
    <t>15-4-1818</t>
  </si>
  <si>
    <t>1/6 St Honore 150</t>
  </si>
  <si>
    <t>Duissot</t>
  </si>
  <si>
    <t>Ve boudry</t>
  </si>
  <si>
    <t>Dauge</t>
  </si>
  <si>
    <t>Anne Eleonore</t>
  </si>
  <si>
    <t>Thibotode 18</t>
  </si>
  <si>
    <t>Pere et ayeule</t>
  </si>
  <si>
    <t>Daveloy</t>
  </si>
  <si>
    <t>Marie Anne Genevieve</t>
  </si>
  <si>
    <t>St Honore 11</t>
  </si>
  <si>
    <t>Dupuis Pierre Arnaud Md Mercier</t>
  </si>
  <si>
    <t>enf min 3</t>
  </si>
  <si>
    <t>Louis Charles</t>
  </si>
  <si>
    <t>Nve st Eustache</t>
  </si>
  <si>
    <t>Paigne Rene Francoise</t>
  </si>
  <si>
    <t>DeFrance</t>
  </si>
  <si>
    <t>Henriette Maire Etienette</t>
  </si>
  <si>
    <t>Coq Heron 16</t>
  </si>
  <si>
    <t>Toulouse</t>
  </si>
  <si>
    <t>Ve De Lostange et Ma Deade</t>
  </si>
  <si>
    <t>Mari et enfants du 1er lit 3</t>
  </si>
  <si>
    <t>4-7-1822</t>
  </si>
  <si>
    <t>D'erenheim</t>
  </si>
  <si>
    <t>mandar 5</t>
  </si>
  <si>
    <t>Delavigne</t>
  </si>
  <si>
    <t>Gabriel Pierre</t>
  </si>
  <si>
    <t>Chev St Lo</t>
  </si>
  <si>
    <t>Montmatre 130</t>
  </si>
  <si>
    <t>Tiberge Marie Louise</t>
  </si>
  <si>
    <t>Enfant et LPNP</t>
  </si>
  <si>
    <t>Delavau</t>
  </si>
  <si>
    <t>St Roch Poissoniere 10</t>
  </si>
  <si>
    <t>Ravot Etienne Jean Prop</t>
  </si>
  <si>
    <t>4-7-1818</t>
  </si>
  <si>
    <t>Hauteville 17</t>
  </si>
  <si>
    <t>Demonthier</t>
  </si>
  <si>
    <t>Ponthoise (S&amp;O)</t>
  </si>
  <si>
    <t>Angelique Marie Monin</t>
  </si>
  <si>
    <t>Enfants 3</t>
  </si>
  <si>
    <t>24-6-1817</t>
  </si>
  <si>
    <t>St Honore 195</t>
  </si>
  <si>
    <t>5 ORFEVRES</t>
  </si>
  <si>
    <t>Orfevres 5</t>
  </si>
  <si>
    <t>Fosses du Temple 53</t>
  </si>
  <si>
    <t>Ve Nicolet</t>
  </si>
  <si>
    <t>Detilly</t>
  </si>
  <si>
    <t>Anne Caroline Joephine</t>
  </si>
  <si>
    <t>Bd Poissoniere 19</t>
  </si>
  <si>
    <t>Duperrier Dumourier Francois Antoine Louis</t>
  </si>
  <si>
    <t>D'HI</t>
  </si>
  <si>
    <t>D'halmont</t>
  </si>
  <si>
    <t>Chretine francois Pierre Gabriel</t>
  </si>
  <si>
    <t>Colonel de Gendarmerie</t>
  </si>
  <si>
    <t>Nve st Eustache 18</t>
  </si>
  <si>
    <t>Tassin Victoire philippine</t>
  </si>
  <si>
    <t>Fb St denis 43</t>
  </si>
  <si>
    <t>Chauvet Marie anne Suzanne</t>
  </si>
  <si>
    <t>fils fille ve</t>
  </si>
  <si>
    <t>Fb St denis 43, St Martin 32</t>
  </si>
  <si>
    <t>Trainee 11</t>
  </si>
  <si>
    <t>Ve robin</t>
  </si>
  <si>
    <t>Neveux 2 a provins</t>
  </si>
  <si>
    <t>Jean Gervais protais</t>
  </si>
  <si>
    <t>St croix de la bretonerie 39</t>
  </si>
  <si>
    <t>M JJ rousseau 19</t>
  </si>
  <si>
    <t>Alexandre bernard</t>
  </si>
  <si>
    <t>Temple 99</t>
  </si>
  <si>
    <t>Arnoult Adelaide Auguistine</t>
  </si>
  <si>
    <t>4 enf min</t>
  </si>
  <si>
    <t>M Monthelt 150</t>
  </si>
  <si>
    <t>D'YAU</t>
  </si>
  <si>
    <t>EGR</t>
  </si>
  <si>
    <t>ESP</t>
  </si>
  <si>
    <t>EVR</t>
  </si>
  <si>
    <t>Farge</t>
  </si>
  <si>
    <t>Hauteville 37</t>
  </si>
  <si>
    <t>3-2-1817</t>
  </si>
  <si>
    <t>NOTA pas de valeur</t>
  </si>
  <si>
    <t>commis-marchand</t>
  </si>
  <si>
    <t>passage du petit p?re, 5</t>
  </si>
  <si>
    <t>l?g univ m?me rue : GAUGNIER, Jean joseph ?loi</t>
  </si>
  <si>
    <t>r des Moulins, 10</t>
  </si>
  <si>
    <t>Fougeron</t>
  </si>
  <si>
    <t>r Coquill?re, 40</t>
  </si>
  <si>
    <t>1/2 m r Coquill?re, 40</t>
  </si>
  <si>
    <t>FEVRET</t>
  </si>
  <si>
    <t>3 AVENUE DES TRIOMPHES</t>
  </si>
  <si>
    <t>7 FOSSES ST GERMAIN LAUXERROIS</t>
  </si>
  <si>
    <t>Fortin</t>
  </si>
  <si>
    <t>Bridel Louise Pitie</t>
  </si>
  <si>
    <t>enfant et Neveu LU</t>
  </si>
  <si>
    <t>M Basin Montesquieu 6</t>
  </si>
  <si>
    <t>quai des c?lestins, 16</t>
  </si>
  <si>
    <t>m quai de la m?gisserie, 48+m r St Germain l'Auxerrois</t>
  </si>
  <si>
    <t>Gaillard de Beaumanoir</t>
  </si>
  <si>
    <t>r Hauteville, 46</t>
  </si>
  <si>
    <t>ve de Montfermeil (le marquis de)</t>
  </si>
  <si>
    <t>m r Hauteville, 46</t>
  </si>
  <si>
    <t>Gallos</t>
  </si>
  <si>
    <t>Albert Pierre</t>
  </si>
  <si>
    <t>r des filles St Thomas, 9</t>
  </si>
  <si>
    <t>son p?re, agent de change+2 s?urs mineures</t>
  </si>
  <si>
    <t>1/3 m r de l'?chiquier, 40</t>
  </si>
  <si>
    <t>GALLOT</t>
  </si>
  <si>
    <t>LUCI</t>
  </si>
  <si>
    <t>c (mineure)</t>
  </si>
  <si>
    <t>11/24 m r de l'?chiquier, 40</t>
  </si>
  <si>
    <t>r de l'?chiquier, 4</t>
  </si>
  <si>
    <t>m?re+fr?re et s?ur</t>
  </si>
  <si>
    <t>GAZ</t>
  </si>
  <si>
    <t>r des 2 boules, 13 (4°)</t>
  </si>
  <si>
    <t>ses 3 enf+son mari</t>
  </si>
  <si>
    <t>Goeden</t>
  </si>
  <si>
    <t>Marie Anne Constance</t>
  </si>
  <si>
    <t>Vrilliere 4</t>
  </si>
  <si>
    <t>Chatelet Edme Md Drao</t>
  </si>
  <si>
    <t xml:space="preserve">Mari Enfants </t>
  </si>
  <si>
    <t>Cons Gd Cons</t>
  </si>
  <si>
    <t>Marchant 4</t>
  </si>
  <si>
    <t>M St denis 45 Montmartre 104 Montmartre 102</t>
  </si>
  <si>
    <t>GRANDJEAN</t>
  </si>
  <si>
    <t>18 DU PARADIS</t>
  </si>
  <si>
    <t>Guastalla</t>
  </si>
  <si>
    <t>St fiacre 17</t>
  </si>
  <si>
    <t>Moser Sophie</t>
  </si>
  <si>
    <t>18-12-18178</t>
  </si>
  <si>
    <t>GUB</t>
  </si>
  <si>
    <t>Guenin</t>
  </si>
  <si>
    <t>Catherine Genevieve</t>
  </si>
  <si>
    <t>Plac Marche des innocants 20</t>
  </si>
  <si>
    <t>Ve Duchin</t>
  </si>
  <si>
    <t>M Place marche des innocents 20</t>
  </si>
  <si>
    <t>Ancien Notaire</t>
  </si>
  <si>
    <t>Hebert 3</t>
  </si>
  <si>
    <t>M mauvaise parolles 72 M DUPLAT D'ETAIN 5</t>
  </si>
  <si>
    <t>Ecrivains 24</t>
  </si>
  <si>
    <t>Noisy le roi</t>
  </si>
  <si>
    <t>M Mercier ( Louee bail 1800)</t>
  </si>
  <si>
    <t>VERDUN</t>
  </si>
  <si>
    <t>Jully</t>
  </si>
  <si>
    <t>Angelique Gabrielle</t>
  </si>
  <si>
    <t>Rue Ivry</t>
  </si>
  <si>
    <t>Sengel J-B denis</t>
  </si>
  <si>
    <t>Vieux Augustin 14</t>
  </si>
  <si>
    <t>Jullienne</t>
  </si>
  <si>
    <t>Jean Clauce Maurice</t>
  </si>
  <si>
    <t>Choquet Marguerite Scholastique</t>
  </si>
  <si>
    <t>Julliene 2</t>
  </si>
  <si>
    <t>Tournelles 44</t>
  </si>
  <si>
    <t>12 DE LA ROULE</t>
  </si>
  <si>
    <t>FILS ET PTE FILLE</t>
  </si>
  <si>
    <t>KER</t>
  </si>
  <si>
    <t>Marie Sophie Henriette</t>
  </si>
  <si>
    <t>r St Honor?, 205</t>
  </si>
  <si>
    <t>1/2 m r St Honor?, 205</t>
  </si>
  <si>
    <t>Md Boulanger</t>
  </si>
  <si>
    <t>Montmartre 111</t>
  </si>
  <si>
    <t xml:space="preserve">Leblanc Maire Jeanne </t>
  </si>
  <si>
    <t>Ve 1/4p 1/4 usus enfants 3 3/4</t>
  </si>
  <si>
    <t>1/2 m r Montmartre, 111</t>
  </si>
  <si>
    <t>Lardin</t>
  </si>
  <si>
    <t>r de Cl?ry, 23</t>
  </si>
  <si>
    <t>LE BEQ</t>
  </si>
  <si>
    <t>Lecerf</t>
  </si>
  <si>
    <t>Jean Baptiste Luc francois</t>
  </si>
  <si>
    <t>X notaire</t>
  </si>
  <si>
    <t>Coq Heron 9</t>
  </si>
  <si>
    <t>Buffaut Marie Louise</t>
  </si>
  <si>
    <t>Enfant Frere soeur</t>
  </si>
  <si>
    <t>14 JOURS</t>
  </si>
  <si>
    <t>Membre Institut</t>
  </si>
  <si>
    <t>College des beaux arts</t>
  </si>
  <si>
    <t>Nieces 2</t>
  </si>
  <si>
    <t>M boules 7 Paradis 14</t>
  </si>
  <si>
    <t>q conti 5</t>
  </si>
  <si>
    <t>Richard Suzanne Sophie</t>
  </si>
  <si>
    <t>Fils mineur et ve 1/4</t>
  </si>
  <si>
    <t>M dechargeurs 4</t>
  </si>
  <si>
    <t>Legouey</t>
  </si>
  <si>
    <t>Ciprienne eulalie</t>
  </si>
  <si>
    <t>Palais royal 33</t>
  </si>
  <si>
    <t>Baurle Francois de sales adrien</t>
  </si>
  <si>
    <t>1/2 m r des vieilles etuves, 4</t>
  </si>
  <si>
    <t>Lehalleur</t>
  </si>
  <si>
    <t>Jean Thomas</t>
  </si>
  <si>
    <t>St germain 62</t>
  </si>
  <si>
    <t>Vf Girard</t>
  </si>
  <si>
    <t>petit neveux et fils adoptif de la defunte</t>
  </si>
  <si>
    <t>1/2 M r St Germain l'Aux, 62</t>
  </si>
  <si>
    <t>quai des Ormes, 6</t>
  </si>
  <si>
    <t>25-5-1818</t>
  </si>
  <si>
    <t>Alexandre Achille</t>
  </si>
  <si>
    <t>sa m?re 1/4+ses fr?res et s?urs mineurs</t>
  </si>
  <si>
    <t>1/8 m r Terechappe, 9 (zz)</t>
  </si>
  <si>
    <t>cult</t>
  </si>
  <si>
    <t>Nointel</t>
  </si>
  <si>
    <t>27-1-1818</t>
  </si>
  <si>
    <t>m r d'Orl?ans St Honor?, 6</t>
  </si>
  <si>
    <t>LORIOT</t>
  </si>
  <si>
    <t>tenant d'h?tel garni</t>
  </si>
  <si>
    <t>r du Four St Honor?, 10</t>
  </si>
  <si>
    <t>ses 2 enf</t>
  </si>
  <si>
    <t>1-12-1818</t>
  </si>
  <si>
    <t>ST GERMAIN</t>
  </si>
  <si>
    <t>MARITON</t>
  </si>
  <si>
    <t>Paul Louis</t>
  </si>
  <si>
    <t>n?gociant</t>
  </si>
  <si>
    <t>r du fg Poissonni?re, 30</t>
  </si>
  <si>
    <t>Noyas (Royas,,,) 07</t>
  </si>
  <si>
    <t>sa ve 1/4 en ppt et en usu+ses 3 enf</t>
  </si>
  <si>
    <t>10-6-1818</t>
  </si>
  <si>
    <t>Marsolan</t>
  </si>
  <si>
    <t>r des filles St Thomas, 11</t>
  </si>
  <si>
    <t>Dubet=l?g univ+3 l?g particuliers</t>
  </si>
  <si>
    <t>3-2-1818</t>
  </si>
  <si>
    <t>Martines(nez)</t>
  </si>
  <si>
    <t>ancien agent de change</t>
  </si>
  <si>
    <t>fg Poissonni?re, 4</t>
  </si>
  <si>
    <t>2-7-1817</t>
  </si>
  <si>
    <t>r St Honor?, 314</t>
  </si>
  <si>
    <t>ve Barastre</t>
  </si>
  <si>
    <t>p?re+m?re+s?ur</t>
  </si>
  <si>
    <t>m r st honor?, 87+m r de la Tableti?re, 13</t>
  </si>
  <si>
    <t>Mertens</t>
  </si>
  <si>
    <t>Isabelle francoise</t>
  </si>
  <si>
    <t>Debitante de papier timbre</t>
  </si>
  <si>
    <t>Villiere 10</t>
  </si>
  <si>
    <t>Fr Simon de rigary Mertens Meme ad</t>
  </si>
  <si>
    <t>Etienne (zz) Michel, Claude</t>
  </si>
  <si>
    <t>Caissier g?n?ral des postes</t>
  </si>
  <si>
    <t>fg Poissonni?re, 1</t>
  </si>
  <si>
    <t>mari?</t>
  </si>
  <si>
    <t>Molinier</t>
  </si>
  <si>
    <t>r des Bourdonnais, 9</t>
  </si>
  <si>
    <t>24-3-1818</t>
  </si>
  <si>
    <t>Moras</t>
  </si>
  <si>
    <t>Fran?ois Pierre</t>
  </si>
  <si>
    <t>v?rificateur de b?timents</t>
  </si>
  <si>
    <t>fg des Poissonniers, 64</t>
  </si>
  <si>
    <t>ses enf+sa ve</t>
  </si>
  <si>
    <t>1/2 m r des poissonniers, 64+usu de 1/2 ? la ve</t>
  </si>
  <si>
    <t>r du Chaume (zz), 15</t>
  </si>
  <si>
    <t>1/2 m r de l'Oratoire, 12+1/2 autre m m?me rue</t>
  </si>
  <si>
    <t>1/2 m march? des Innocents, 8 et 8 bis</t>
  </si>
  <si>
    <t>7 DU PETIT REPOSOIR</t>
  </si>
  <si>
    <t>r du Pont au choux,</t>
  </si>
  <si>
    <t>ve Andrieux (Audrieur…)</t>
  </si>
  <si>
    <t>r Montmartre, 61</t>
  </si>
  <si>
    <t>sa s?ur l?g univ+2 Edon l?g partic</t>
  </si>
  <si>
    <t>18-2-1818</t>
  </si>
  <si>
    <t>PAUPELIN</t>
  </si>
  <si>
    <t>pl St Germain l'Auxerrois, 24</t>
  </si>
  <si>
    <t>ve DESASTRE</t>
  </si>
  <si>
    <t>une fille + un autre enf (sic)</t>
  </si>
  <si>
    <t>27-8-1817</t>
  </si>
  <si>
    <t>PAULINE</t>
  </si>
  <si>
    <t>Suzanne</t>
  </si>
  <si>
    <t>r Coquilli?re, 46</t>
  </si>
  <si>
    <t>ve ETRURET, commissaire priseur</t>
  </si>
  <si>
    <t>2 ss indic de lien</t>
  </si>
  <si>
    <t>Pierre Jacques Fran?ois</t>
  </si>
  <si>
    <t>r de la Cordonnerie, 12 (4° arr)</t>
  </si>
  <si>
    <t>1/2 m r de la Cordonnerie, 12</t>
  </si>
  <si>
    <t>Peyron</t>
  </si>
  <si>
    <t>Claude (ou Blanche) Eug?nie</t>
  </si>
  <si>
    <t>r des bons enfants, 28</t>
  </si>
  <si>
    <t>enf mineurs</t>
  </si>
  <si>
    <t>24-1-1818</t>
  </si>
  <si>
    <t>PICHENAY</t>
  </si>
  <si>
    <t>r des Prouvaires, 16 (3° arr)</t>
  </si>
  <si>
    <t>vd de PHILIPPE, Marie Rosalie</t>
  </si>
  <si>
    <t>2 parents (enf ?), amis lien non indiqu?+3 autres</t>
  </si>
  <si>
    <t>Alexandrine louise</t>
  </si>
  <si>
    <t>Coq St hononre 8</t>
  </si>
  <si>
    <t>Abel Nicolas</t>
  </si>
  <si>
    <t>Piel</t>
  </si>
  <si>
    <t>Hospice de l'enfant jesus</t>
  </si>
  <si>
    <t>frere mere</t>
  </si>
  <si>
    <t>portion de terrain fg Poissonni?re, 124</t>
  </si>
  <si>
    <t>Polak</t>
  </si>
  <si>
    <t>Manuel</t>
  </si>
  <si>
    <t>r Vivienne, 10</t>
  </si>
  <si>
    <t>5 enf+ve</t>
  </si>
  <si>
    <t>30-7-1819</t>
  </si>
  <si>
    <t>6-4-1820</t>
  </si>
  <si>
    <t>Pontois</t>
  </si>
  <si>
    <t>Jean Pascale</t>
  </si>
  <si>
    <t>St pierre Mt montmatre 9\</t>
  </si>
  <si>
    <t>Mercier Charlotte Marie</t>
  </si>
  <si>
    <t>enfants 2 ve 1/4 d 1/4 usu</t>
  </si>
  <si>
    <t>fg du Roule, 42</t>
  </si>
  <si>
    <t>s?ur+mari</t>
  </si>
  <si>
    <t>m r St Denis, 91+ m r de Sartine, 6</t>
  </si>
  <si>
    <t>25-11-1818</t>
  </si>
  <si>
    <t>Quatremere</t>
  </si>
  <si>
    <t>Mauvaises Paroles 15</t>
  </si>
  <si>
    <t>Jannon Marie Francois negociant</t>
  </si>
  <si>
    <t>Enf et mari</t>
  </si>
  <si>
    <t>1/6 Lavandieres St opportunes 24</t>
  </si>
  <si>
    <t>Remi</t>
  </si>
  <si>
    <t>Jacques Nicolas</t>
  </si>
  <si>
    <t>Huissier</t>
  </si>
  <si>
    <t>Petit careau 31</t>
  </si>
  <si>
    <t>Daube 1 et remy 3 cheron 4 et LPNP</t>
  </si>
  <si>
    <t>P M Per gasselon 10</t>
  </si>
  <si>
    <t>8 ...IBAUTODE</t>
  </si>
  <si>
    <t>Rocquigny de</t>
  </si>
  <si>
    <t>Catherine Jacqueline elisabeth</t>
  </si>
  <si>
    <t>Hauteville 10</t>
  </si>
  <si>
    <t>Desmarest</t>
  </si>
  <si>
    <t>26-2-1818</t>
  </si>
  <si>
    <t>Rougemont</t>
  </si>
  <si>
    <t>Ignace</t>
  </si>
  <si>
    <t>JJ rousseau 21</t>
  </si>
  <si>
    <t>Soeur 1</t>
  </si>
  <si>
    <t>24-7-1818</t>
  </si>
  <si>
    <t>Charlotte blanche</t>
  </si>
  <si>
    <t>Ternaux Rousseau</t>
  </si>
  <si>
    <t>Enfants ve</t>
  </si>
  <si>
    <t>2m st honoire 8, coquillere 9, croissant 18</t>
  </si>
  <si>
    <t>SAUGRAIN</t>
  </si>
  <si>
    <t>8 RUE VIEILLE DE ST HONORE</t>
  </si>
  <si>
    <t>Souverand</t>
  </si>
  <si>
    <t>Raynard Louise Laure</t>
  </si>
  <si>
    <t>Fb Poissoniere 2</t>
  </si>
  <si>
    <t>SUC</t>
  </si>
  <si>
    <t>Tavernier</t>
  </si>
  <si>
    <t>Megisserie 74</t>
  </si>
  <si>
    <t>e m Quai de la megisserie 73, St germain L'auxerois 85</t>
  </si>
  <si>
    <t>Thiboeuf</t>
  </si>
  <si>
    <t>Gurgemel Antoine prop</t>
  </si>
  <si>
    <t>1/2 m Vieux augustin 35</t>
  </si>
  <si>
    <t>marie Louise Eulalie</t>
  </si>
  <si>
    <t>Bouloy 12</t>
  </si>
  <si>
    <t>Ve Marvec, M a Fortin Jean pierre francois prop</t>
  </si>
  <si>
    <t>enfants frere</t>
  </si>
  <si>
    <t>Triger</t>
  </si>
  <si>
    <t>marie Julienne francoise</t>
  </si>
  <si>
    <t>Mamere ZZ</t>
  </si>
  <si>
    <t>Renard Duverger Michel</t>
  </si>
  <si>
    <t>Thibautaude 8</t>
  </si>
  <si>
    <t>Valbert</t>
  </si>
  <si>
    <t>Marie Barbe Illuminata</t>
  </si>
  <si>
    <t>Echiquier 34</t>
  </si>
  <si>
    <t>Ve agobert Com des Guerres ve segonzac</t>
  </si>
  <si>
    <t>28-3-1818</t>
  </si>
  <si>
    <t>VAZ</t>
  </si>
  <si>
    <t>WIA</t>
  </si>
  <si>
    <t>Mondormert Madeleine</t>
  </si>
  <si>
    <t>Pierre lescot</t>
  </si>
  <si>
    <t>ZEU</t>
  </si>
  <si>
    <t>Jean Baptiste francois</t>
  </si>
  <si>
    <t>chemin vert 6</t>
  </si>
  <si>
    <t>Precheur 26</t>
  </si>
  <si>
    <t>Voltaire 21</t>
  </si>
  <si>
    <t>Felix min LU</t>
  </si>
  <si>
    <t>Mult</t>
  </si>
  <si>
    <t>Doublon</t>
  </si>
  <si>
    <t>END</t>
  </si>
  <si>
    <t>VALEUR OU REVENU?</t>
  </si>
  <si>
    <t>BACot</t>
  </si>
  <si>
    <t>NA/M OU V</t>
  </si>
  <si>
    <t>LAM</t>
  </si>
  <si>
    <t>LESAGE</t>
  </si>
  <si>
    <t>ENF ET PTS ENF</t>
  </si>
  <si>
    <t>Montmartre 174</t>
  </si>
  <si>
    <t>Enf et ve</t>
  </si>
  <si>
    <t>Avoue</t>
  </si>
  <si>
    <t>Fils et ve</t>
  </si>
  <si>
    <t>Montesquieu 6</t>
  </si>
  <si>
    <t>20-10-17</t>
  </si>
  <si>
    <t>enf+ve</t>
  </si>
  <si>
    <t>IA</t>
  </si>
  <si>
    <t>ancien procureur</t>
  </si>
  <si>
    <t>fille mineure</t>
  </si>
  <si>
    <t>mari+2 enf mineurs</t>
  </si>
  <si>
    <t>MAR</t>
  </si>
  <si>
    <t>MOR</t>
  </si>
  <si>
    <t>Prouvaires 8</t>
  </si>
  <si>
    <t>Paris</t>
  </si>
  <si>
    <t>Fille et ve</t>
  </si>
  <si>
    <t>Denise</t>
  </si>
  <si>
    <t>Tannerie 5</t>
  </si>
  <si>
    <t>16-4-1818</t>
  </si>
  <si>
    <t>1/2 M tannerie 5</t>
  </si>
  <si>
    <t>CLI</t>
  </si>
  <si>
    <t>COG</t>
  </si>
  <si>
    <t xml:space="preserve">COLA </t>
  </si>
  <si>
    <t>Jardinier</t>
  </si>
  <si>
    <t>menilmontant 10</t>
  </si>
  <si>
    <t>Duval Madelaine</t>
  </si>
  <si>
    <t>15-5-1818</t>
  </si>
  <si>
    <t>1/2 M menilmontant</t>
  </si>
  <si>
    <t xml:space="preserve">COLI </t>
  </si>
  <si>
    <t>Colin</t>
  </si>
  <si>
    <t>Traversiere st antoine 18</t>
  </si>
  <si>
    <t>Paissard Main Jean Pierre</t>
  </si>
  <si>
    <t>Mari don fille naturelle</t>
  </si>
  <si>
    <t>15-10-1817</t>
  </si>
  <si>
    <t>8-12-1818</t>
  </si>
  <si>
    <t>Collet</t>
  </si>
  <si>
    <t>Pierre simon</t>
  </si>
  <si>
    <t>md cheveaux</t>
  </si>
  <si>
    <t>Parc Royal 4</t>
  </si>
  <si>
    <t>Fourbel Veronique</t>
  </si>
  <si>
    <t>Collet 3</t>
  </si>
  <si>
    <t>7-3-1818</t>
  </si>
  <si>
    <t>Ch de pantin 30</t>
  </si>
  <si>
    <t xml:space="preserve">COLL </t>
  </si>
  <si>
    <t>Constantin</t>
  </si>
  <si>
    <t>Maire Braux pres st Menehould</t>
  </si>
  <si>
    <t>Braux</t>
  </si>
  <si>
    <t>Dorigny marie claude antoinette</t>
  </si>
  <si>
    <t>1/2 M vielle du temple 27</t>
  </si>
  <si>
    <t>Coquillet</t>
  </si>
  <si>
    <t>Fab potteries</t>
  </si>
  <si>
    <t>Roquette 31</t>
  </si>
  <si>
    <t>Lebas denise romaine</t>
  </si>
  <si>
    <t>ve usu filles 3</t>
  </si>
  <si>
    <t>1/2 Roquette 31</t>
  </si>
  <si>
    <t>Cosse</t>
  </si>
  <si>
    <t>Louis Lenfroy</t>
  </si>
  <si>
    <t>Montmorency 24</t>
  </si>
  <si>
    <t>Duchon Marie Victoire elizabeth</t>
  </si>
  <si>
    <t>neveu et LPNP</t>
  </si>
  <si>
    <t xml:space="preserve">COT </t>
  </si>
  <si>
    <t>Cottin</t>
  </si>
  <si>
    <t>Popincouirt 7</t>
  </si>
  <si>
    <t>Ve Defrogez fr</t>
  </si>
  <si>
    <t>1/2 Popincouirt 7</t>
  </si>
  <si>
    <t>COUB</t>
  </si>
  <si>
    <t>Coussin</t>
  </si>
  <si>
    <t>Antoine Francois Gaspard</t>
  </si>
  <si>
    <t>Popincourt 58</t>
  </si>
  <si>
    <t>Chapuzot Jeanne</t>
  </si>
  <si>
    <t>30-3-1818</t>
  </si>
  <si>
    <t>M poitou, M vennerie, Popuncourt 26</t>
  </si>
  <si>
    <t xml:space="preserve">COUS </t>
  </si>
  <si>
    <t>CUC</t>
  </si>
  <si>
    <t>DAF</t>
  </si>
  <si>
    <t>Daigremont</t>
  </si>
  <si>
    <t>Royalle 4</t>
  </si>
  <si>
    <t>Micoud Marie Francoise Rosalie</t>
  </si>
  <si>
    <t>soeurs 2 et collat</t>
  </si>
  <si>
    <t>9-6-1818</t>
  </si>
  <si>
    <t>Damour</t>
  </si>
  <si>
    <t>Marie Jeanne denise</t>
  </si>
  <si>
    <t>26.9.1817</t>
  </si>
  <si>
    <t>DEHEMONT</t>
  </si>
  <si>
    <t>LOUISE CATHERINE</t>
  </si>
  <si>
    <t>QUEI DE BETHUNE 2</t>
  </si>
  <si>
    <t>19.11.1817</t>
  </si>
  <si>
    <t>R DES MARMOUSETS 34</t>
  </si>
  <si>
    <t>20.8.1817</t>
  </si>
  <si>
    <t>14.10.1817</t>
  </si>
  <si>
    <t>DE LA HAYE D'ANGLEMONT</t>
  </si>
  <si>
    <t>JN BTE CONSTANTON</t>
  </si>
  <si>
    <t>ANS COLONEL</t>
  </si>
  <si>
    <t>R DE SEINE 18</t>
  </si>
  <si>
    <t>DIR ET COL</t>
  </si>
  <si>
    <t>29.11.1817</t>
  </si>
  <si>
    <t>PROPRIETE EN SEINE MARIT REVF 3600</t>
  </si>
  <si>
    <t>NT</t>
  </si>
  <si>
    <t>2.9.1817</t>
  </si>
  <si>
    <t>31.5.1817</t>
  </si>
  <si>
    <t>21.11.1817</t>
  </si>
  <si>
    <t>7.1.1818</t>
  </si>
  <si>
    <t>DEBRUC</t>
  </si>
  <si>
    <t>PERINNE ANNE FELICITE</t>
  </si>
  <si>
    <t>EX RELGIEUSE</t>
  </si>
  <si>
    <t>R POULITIER 5</t>
  </si>
  <si>
    <t>29.9.1817</t>
  </si>
  <si>
    <t>4.8.1817</t>
  </si>
  <si>
    <t>7.1.1820</t>
  </si>
  <si>
    <t>27.1.1817</t>
  </si>
  <si>
    <t>28.5.1817</t>
  </si>
  <si>
    <t>DELAPORTE</t>
  </si>
  <si>
    <t>MARIE ANNE</t>
  </si>
  <si>
    <t>R DE LUNIVERSITE 42</t>
  </si>
  <si>
    <t xml:space="preserve">DIR  </t>
  </si>
  <si>
    <t>23.5.1817</t>
  </si>
  <si>
    <t>DELAROUZEE</t>
  </si>
  <si>
    <t>JN CHARLES</t>
  </si>
  <si>
    <t>MD DE NOUVAUTES</t>
  </si>
  <si>
    <t>R DE NONINDIERE 12</t>
  </si>
  <si>
    <t>1.9.1817</t>
  </si>
  <si>
    <t>DE L'ESPINASSE DE LANGEAC</t>
  </si>
  <si>
    <t>ADELAIDE MARIE LOUISE</t>
  </si>
  <si>
    <t>PL DU PALAIS BOURBON 83</t>
  </si>
  <si>
    <t>DIR ET AUTRES</t>
  </si>
  <si>
    <t>14.4.1817</t>
  </si>
  <si>
    <t>DELM</t>
  </si>
  <si>
    <t>31.7.1817</t>
  </si>
  <si>
    <t>12.8.1817</t>
  </si>
  <si>
    <t>DE MAUCONVENANT DE ST SUZANNE</t>
  </si>
  <si>
    <t>NOBLE</t>
  </si>
  <si>
    <t>24.7.1817</t>
  </si>
  <si>
    <t>2.8.1817</t>
  </si>
  <si>
    <t>JN HENRI</t>
  </si>
  <si>
    <t>ST PAUL 17</t>
  </si>
  <si>
    <t>DIR ET NON PAR</t>
  </si>
  <si>
    <t>21.5.1817</t>
  </si>
  <si>
    <t>5.5.1818</t>
  </si>
  <si>
    <t>8.8.1817</t>
  </si>
  <si>
    <t>DESERAN</t>
  </si>
  <si>
    <t>MARIE JULIE</t>
  </si>
  <si>
    <t>R DE VARENNE 23</t>
  </si>
  <si>
    <t>3.4.1817</t>
  </si>
  <si>
    <t>19.8.1817</t>
  </si>
  <si>
    <t>25.7.1817</t>
  </si>
  <si>
    <t>DESVERGERS DE MAUPERTEIS</t>
  </si>
  <si>
    <t>FRSE AIMEE</t>
  </si>
  <si>
    <t>R DU BAC 40</t>
  </si>
  <si>
    <t>NON PARENTS</t>
  </si>
  <si>
    <t>9.12.1817</t>
  </si>
  <si>
    <t>11.11.1817</t>
  </si>
  <si>
    <t>DEVIN</t>
  </si>
  <si>
    <t>JQ JULIEN</t>
  </si>
  <si>
    <t>ANC PRESIDENT CHAMBRE DE COMPTES</t>
  </si>
  <si>
    <t>ILE ST LOUIS 45</t>
  </si>
  <si>
    <t>13.11.1817</t>
  </si>
  <si>
    <t>DROZ</t>
  </si>
  <si>
    <t>JN FRED JQ</t>
  </si>
  <si>
    <t>MD QUINCAILLER</t>
  </si>
  <si>
    <t>R DE LA BARRIELERIE 19</t>
  </si>
  <si>
    <t>28.6.1817</t>
  </si>
  <si>
    <t>5.9.1817</t>
  </si>
  <si>
    <t>DUPIN</t>
  </si>
  <si>
    <t>20.12.1817</t>
  </si>
  <si>
    <t>DQ73039</t>
  </si>
  <si>
    <t>FILLE LU</t>
  </si>
  <si>
    <t>DEQ</t>
  </si>
  <si>
    <t>Desaint MARTIN</t>
  </si>
  <si>
    <t>Targny</t>
  </si>
  <si>
    <t>jEAN francois</t>
  </si>
  <si>
    <t>Bourbon villeneuve 26</t>
  </si>
  <si>
    <t>Mantes s et 0</t>
  </si>
  <si>
    <t>soeurs</t>
  </si>
  <si>
    <t>DELI</t>
  </si>
  <si>
    <t>DESG</t>
  </si>
  <si>
    <t>DESI</t>
  </si>
  <si>
    <t>DESR</t>
  </si>
  <si>
    <t>FRERE SOEUR</t>
  </si>
  <si>
    <t>Devarenne</t>
  </si>
  <si>
    <t>Croise anne Delphine</t>
  </si>
  <si>
    <t>Etienne claude</t>
  </si>
  <si>
    <t>Md</t>
  </si>
  <si>
    <t>St denis 14</t>
  </si>
  <si>
    <t>enfants 3 sous tut de leur mere</t>
  </si>
  <si>
    <t>9-9-1817</t>
  </si>
  <si>
    <t>DIG</t>
  </si>
  <si>
    <t>LINAS S ET 0</t>
  </si>
  <si>
    <t>Divoire</t>
  </si>
  <si>
    <t>EP Chauvet marie anne suzanne</t>
  </si>
  <si>
    <t>Fb st denis 43</t>
  </si>
  <si>
    <t>divoire 2</t>
  </si>
  <si>
    <t>St martin 32</t>
  </si>
  <si>
    <t>DOS</t>
  </si>
  <si>
    <t>STE CROIX BRETONERIE</t>
  </si>
  <si>
    <t>1/21 M</t>
  </si>
  <si>
    <t>1/9 M FONTAMAND</t>
  </si>
  <si>
    <t>DUBA</t>
  </si>
  <si>
    <t>1/2 M ours 14</t>
  </si>
  <si>
    <t>DUBU</t>
  </si>
  <si>
    <t>Duchosale</t>
  </si>
  <si>
    <t>Chanhomme charles</t>
  </si>
  <si>
    <t>therese emilie</t>
  </si>
  <si>
    <t>st denis 76</t>
  </si>
  <si>
    <t>11-5-1818</t>
  </si>
  <si>
    <t>30-5-1821</t>
  </si>
  <si>
    <t>Duchesne</t>
  </si>
  <si>
    <t>Thomas Alexandrine louise Jeanne</t>
  </si>
  <si>
    <t>negociant</t>
  </si>
  <si>
    <t>Pigale 18</t>
  </si>
  <si>
    <t>19-12-1817</t>
  </si>
  <si>
    <t>Abbe 23</t>
  </si>
  <si>
    <t>DUCA</t>
  </si>
  <si>
    <t>Arnould Adelaide augustine</t>
  </si>
  <si>
    <t>Alexandre bernard bonaventure</t>
  </si>
  <si>
    <t>temple 99</t>
  </si>
  <si>
    <t>1/2 de 6m Montmartre 158, Temple 99 et 101 Nd 2 et fb temple 3 et 5</t>
  </si>
  <si>
    <t>Entremont</t>
  </si>
  <si>
    <t>Wf de Maintnayen Desoué de…</t>
  </si>
  <si>
    <t>Jean Noël</t>
  </si>
  <si>
    <t>ancien tablettier</t>
  </si>
  <si>
    <t>r St Maur, 88 (6°)</t>
  </si>
  <si>
    <t>Entremont Claude François, invalide+ X+Y dt à Champigny, dép du Montblanc</t>
  </si>
  <si>
    <t>10-1-1818</t>
  </si>
  <si>
    <t>DURU</t>
  </si>
  <si>
    <t>LNP</t>
  </si>
  <si>
    <t>Fournier desvoyeux</t>
  </si>
  <si>
    <t>19/4/1817</t>
  </si>
  <si>
    <t>Faguet</t>
  </si>
  <si>
    <t>Renard Marguerite francoise</t>
  </si>
  <si>
    <t>Pantin</t>
  </si>
  <si>
    <t>M et bat st maur 39</t>
  </si>
  <si>
    <t>Sotonier louise therese +27-4-1820</t>
  </si>
  <si>
    <t>Mathieu</t>
  </si>
  <si>
    <t>Mt Charpentier</t>
  </si>
  <si>
    <t>Fb st martin 108</t>
  </si>
  <si>
    <t>1 faguet</t>
  </si>
  <si>
    <t>2-6-1818</t>
  </si>
  <si>
    <t>M st martin 108</t>
  </si>
  <si>
    <t>FEI</t>
  </si>
  <si>
    <t>LA PERLE</t>
  </si>
  <si>
    <t>1/2 Nve st sauveur</t>
  </si>
  <si>
    <t>Fery</t>
  </si>
  <si>
    <t>EP Morton Jeanne Josephine</t>
  </si>
  <si>
    <t>employe a la Mairie</t>
  </si>
  <si>
    <t>Clery 72</t>
  </si>
  <si>
    <t>Fe et fille</t>
  </si>
  <si>
    <t>11-7-1817</t>
  </si>
  <si>
    <t>Ferron</t>
  </si>
  <si>
    <t>We Pays de lathau baron</t>
  </si>
  <si>
    <t>francoise louise modeste</t>
  </si>
  <si>
    <t>baronne</t>
  </si>
  <si>
    <t>Bondy 34</t>
  </si>
  <si>
    <t>COLAT</t>
  </si>
  <si>
    <t>Fermepin</t>
  </si>
  <si>
    <t>Marchand</t>
  </si>
  <si>
    <t>Palais royal gal de paris 42</t>
  </si>
  <si>
    <t>ve don et enf 3</t>
  </si>
  <si>
    <t>1/2 Marche st martin</t>
  </si>
  <si>
    <t>FES</t>
  </si>
  <si>
    <t>FID</t>
  </si>
  <si>
    <t>Firino</t>
  </si>
  <si>
    <t>We Margaritis dit marguerite jean</t>
  </si>
  <si>
    <t>Marie augustine</t>
  </si>
  <si>
    <t>fb st denis 78</t>
  </si>
  <si>
    <t>enfants 3 mineurs</t>
  </si>
  <si>
    <t>Fb st denis 78</t>
  </si>
  <si>
    <t>Fayolle</t>
  </si>
  <si>
    <t>menars 7</t>
  </si>
  <si>
    <t>M caire 11</t>
  </si>
  <si>
    <t>Hotel dieu</t>
  </si>
  <si>
    <t>HOP ST LO</t>
  </si>
  <si>
    <t>FOUE</t>
  </si>
  <si>
    <t>EP Bardoux veronique +1817</t>
  </si>
  <si>
    <t>1/2 M St maur 128 et 130</t>
  </si>
  <si>
    <t>Np lu</t>
  </si>
  <si>
    <t>Fremont</t>
  </si>
  <si>
    <t>EP Frichot denis michel fab d'acier</t>
  </si>
  <si>
    <t>Gravilliers 42</t>
  </si>
  <si>
    <t>10-7-1819</t>
  </si>
  <si>
    <t>1/2 M gravillier 40,42,44</t>
  </si>
  <si>
    <t>Gravilliers 44</t>
  </si>
  <si>
    <t>16-9-1818</t>
  </si>
  <si>
    <t>M Pontonier 4</t>
  </si>
  <si>
    <t>GALBOIS</t>
  </si>
  <si>
    <t>1/4/1817</t>
  </si>
  <si>
    <t>GOBILLOT</t>
  </si>
  <si>
    <t>17/4/1817</t>
  </si>
  <si>
    <t>GRIMPRELLE</t>
  </si>
  <si>
    <t>Nicolas Claude</t>
  </si>
  <si>
    <t>menuisier</t>
  </si>
  <si>
    <t>r du fg st martin, 73</t>
  </si>
  <si>
    <t>1/5/1817</t>
  </si>
  <si>
    <t>Ganier</t>
  </si>
  <si>
    <t>Cancalon marie cath</t>
  </si>
  <si>
    <t>Pierre charles</t>
  </si>
  <si>
    <t>mt boulanger</t>
  </si>
  <si>
    <t>arcis 45</t>
  </si>
  <si>
    <t>filles min 2</t>
  </si>
  <si>
    <t>1/2 M arcis 35</t>
  </si>
  <si>
    <t>Garrigues</t>
  </si>
  <si>
    <t>Vf Lamblot Catherine Marthe</t>
  </si>
  <si>
    <t>charpentier</t>
  </si>
  <si>
    <t>Fb St martin</t>
  </si>
  <si>
    <t>8-4-1817</t>
  </si>
  <si>
    <t>GALLET</t>
  </si>
  <si>
    <t>r des filles dieu, 29</t>
  </si>
  <si>
    <t>enfants 2+ép</t>
  </si>
  <si>
    <t>8-12-1819</t>
  </si>
  <si>
    <t>ENFS 3</t>
  </si>
  <si>
    <t>Gaulthier</t>
  </si>
  <si>
    <t>We foin</t>
  </si>
  <si>
    <t>Marianne louise</t>
  </si>
  <si>
    <t>Saintonge 38</t>
  </si>
  <si>
    <t>28-1-1828</t>
  </si>
  <si>
    <t>Gelay de boissy</t>
  </si>
  <si>
    <t>Martial</t>
  </si>
  <si>
    <t>Beauryzain 11</t>
  </si>
  <si>
    <t>Fillles mineures et frere cadet</t>
  </si>
  <si>
    <t>27-11-1817</t>
  </si>
  <si>
    <t>CRECY</t>
  </si>
  <si>
    <t>GIA</t>
  </si>
  <si>
    <t>17-12-1818</t>
  </si>
  <si>
    <t>Girardin</t>
  </si>
  <si>
    <t>Pierre alphonse</t>
  </si>
  <si>
    <t>Fb St martin 143</t>
  </si>
  <si>
    <t>mere et 2 soeurs</t>
  </si>
  <si>
    <t>Goebaut</t>
  </si>
  <si>
    <t>EP Meillet Nicolas Joseph</t>
  </si>
  <si>
    <t>Denise desiree</t>
  </si>
  <si>
    <t>Fb st martin 104</t>
  </si>
  <si>
    <t>Mari et mere</t>
  </si>
  <si>
    <t>GRIGNET</t>
  </si>
  <si>
    <t>Salmon</t>
  </si>
  <si>
    <t>Denis Antoine</t>
  </si>
  <si>
    <t>Foin 13</t>
  </si>
  <si>
    <t>Bebillon anne</t>
  </si>
  <si>
    <t>Salmon nicolas remi</t>
  </si>
  <si>
    <t>12-1-1818</t>
  </si>
  <si>
    <t>Horlogier</t>
  </si>
  <si>
    <t>Q orfevres 18</t>
  </si>
  <si>
    <t>marie Francoise Dalle</t>
  </si>
  <si>
    <t>Sanguinedi</t>
  </si>
  <si>
    <t>17-4-1817</t>
  </si>
  <si>
    <t>elisabeth julie</t>
  </si>
  <si>
    <t>St etienne 19</t>
  </si>
  <si>
    <t>Sejan</t>
  </si>
  <si>
    <t>Marguerite Genevieve</t>
  </si>
  <si>
    <t>3 enf</t>
  </si>
  <si>
    <t>DECAUX</t>
  </si>
  <si>
    <t>4 enf</t>
  </si>
  <si>
    <t>DENIS</t>
  </si>
  <si>
    <t>DEJ</t>
  </si>
  <si>
    <t>2 filles</t>
  </si>
  <si>
    <t>Traiteur</t>
  </si>
  <si>
    <t>Ma Ferriiere</t>
  </si>
  <si>
    <t>29-12-1817</t>
  </si>
  <si>
    <t>Bailly</t>
  </si>
  <si>
    <t>Breteuil 5</t>
  </si>
  <si>
    <t>ep Radou Justine</t>
  </si>
  <si>
    <t>Francois Louis</t>
  </si>
  <si>
    <t>negotiant</t>
  </si>
  <si>
    <t>St denis 180</t>
  </si>
  <si>
    <t>Fille 1 ve don</t>
  </si>
  <si>
    <t>0.5 m St denis 180</t>
  </si>
  <si>
    <t>Boulle marguerite</t>
  </si>
  <si>
    <t>st denis 96</t>
  </si>
  <si>
    <t>ve et enfants 2</t>
  </si>
  <si>
    <t>2-8-1827</t>
  </si>
  <si>
    <t>1/2 de 2 m St denis 84 et trois cannettes</t>
  </si>
  <si>
    <t>1/2 M st denis 186</t>
  </si>
  <si>
    <t>20-2-1817</t>
  </si>
  <si>
    <t>Leleu</t>
  </si>
  <si>
    <t>Ve Champion</t>
  </si>
  <si>
    <t>Mde orfevre</t>
  </si>
  <si>
    <t>stmartin 167</t>
  </si>
  <si>
    <t>enfants min 4</t>
  </si>
  <si>
    <t>11-9-1817</t>
  </si>
  <si>
    <t>Francine Hypolitte</t>
  </si>
  <si>
    <t>St honore 36</t>
  </si>
  <si>
    <t>freres et soeurs 6</t>
  </si>
  <si>
    <t>St denis 370</t>
  </si>
  <si>
    <t>Leroux</t>
  </si>
  <si>
    <t>Fournier jean baptiste hilarion patissier</t>
  </si>
  <si>
    <t>Louise anne</t>
  </si>
  <si>
    <t>1.2 M Balaurat 23 et fb st denis 148</t>
  </si>
  <si>
    <t>EP Lemaire Maire</t>
  </si>
  <si>
    <t>Transnonains 16</t>
  </si>
  <si>
    <t>19-1-1818</t>
  </si>
  <si>
    <t>1/P M Phelipeaux 25</t>
  </si>
  <si>
    <t>1/2 M St martin 261</t>
  </si>
  <si>
    <t>LHO</t>
  </si>
  <si>
    <t>1/2 M GDE TRUANDERIE 15</t>
  </si>
  <si>
    <t>LOB</t>
  </si>
  <si>
    <t>Louvrier</t>
  </si>
  <si>
    <t xml:space="preserve">Vf </t>
  </si>
  <si>
    <t>Pierre Antoine</t>
  </si>
  <si>
    <t>Staintonge 6</t>
  </si>
  <si>
    <t>fils 1 et neveux 2</t>
  </si>
  <si>
    <t>LUQ</t>
  </si>
  <si>
    <t>COLATERAUX</t>
  </si>
  <si>
    <t>25-4-1817</t>
  </si>
  <si>
    <t>MANANTE</t>
  </si>
  <si>
    <t>MOULIN</t>
  </si>
  <si>
    <t>Belleville</t>
  </si>
  <si>
    <t>1/2 M st denis 146</t>
  </si>
  <si>
    <t>Marlin</t>
  </si>
  <si>
    <t>EP Deribaucourt alex</t>
  </si>
  <si>
    <t>St laurent 10</t>
  </si>
  <si>
    <t>Fille 1 et Fille de Louis Patern</t>
  </si>
  <si>
    <t>1/2 M St laurent 41</t>
  </si>
  <si>
    <t>EP Dissey Pierre guillaume parfumerur</t>
  </si>
  <si>
    <t>Anne Clotilde</t>
  </si>
  <si>
    <t>parfumeur</t>
  </si>
  <si>
    <t>St martin 111</t>
  </si>
  <si>
    <t>26-9-1817</t>
  </si>
  <si>
    <t>Ve roussel</t>
  </si>
  <si>
    <t>Louise Charlotte</t>
  </si>
  <si>
    <t>Orleans st marcel 11</t>
  </si>
  <si>
    <t>Beauregard 1</t>
  </si>
  <si>
    <t>Marine Oise</t>
  </si>
  <si>
    <t>portion de 2 m fg st Denis, 204 et 206+terrain en marais</t>
  </si>
  <si>
    <t>Millet</t>
  </si>
  <si>
    <t>we Labbe f</t>
  </si>
  <si>
    <t>Marie Marguerite Prudente</t>
  </si>
  <si>
    <t>Greneta 6</t>
  </si>
  <si>
    <t>3 her colat</t>
  </si>
  <si>
    <t>14-1-1818</t>
  </si>
  <si>
    <t>Greneta 11</t>
  </si>
  <si>
    <t>MORA</t>
  </si>
  <si>
    <t>MONS</t>
  </si>
  <si>
    <t>Morlière</t>
  </si>
  <si>
    <t>ép, Badeville, Jean Mzzz</t>
  </si>
  <si>
    <t>r Neuve St Laurent, 19</t>
  </si>
  <si>
    <t>mari+frère+sœur+neveu</t>
  </si>
  <si>
    <t>1/2 m r St Martin, 212+1/2m r Neuve St laurent, 19</t>
  </si>
  <si>
    <t>Moulin</t>
  </si>
  <si>
    <t>Boucher J-B Marchand</t>
  </si>
  <si>
    <t>Jardin St Paul 11</t>
  </si>
  <si>
    <t>Mari et fille unique</t>
  </si>
  <si>
    <t>16-6-1818</t>
  </si>
  <si>
    <t>m en cour, r aux Ours, 36</t>
  </si>
  <si>
    <t>MOY</t>
  </si>
  <si>
    <t>Nairac</t>
  </si>
  <si>
    <t>x legislateur</t>
  </si>
  <si>
    <t>St denis 274</t>
  </si>
  <si>
    <t>Neveux et nieces 16</t>
  </si>
  <si>
    <t>NAM</t>
  </si>
  <si>
    <t>1/4 m r du fg St Denis, 152</t>
  </si>
  <si>
    <t>Navarre</t>
  </si>
  <si>
    <t>ép, Bernier, Elizabeth Marguerite</t>
  </si>
  <si>
    <t>Joseph, Ange</t>
  </si>
  <si>
    <t>r des Fontaines, 5</t>
  </si>
  <si>
    <t>femme+fils+lég particulier</t>
  </si>
  <si>
    <t>17-2-1818</t>
  </si>
  <si>
    <t>m r des Fontaines, 5</t>
  </si>
  <si>
    <t>ve Tonnelier, Jean Pierre</t>
  </si>
  <si>
    <t>Denise Charlotte</t>
  </si>
  <si>
    <t>r Greneta, 39</t>
  </si>
  <si>
    <t>enf+petits enf+2 lég partic</t>
  </si>
  <si>
    <t>NIV</t>
  </si>
  <si>
    <t>m à Versailles, r Savieux</t>
  </si>
  <si>
    <t>1/8 m r de la Mauderce (zz), 11</t>
  </si>
  <si>
    <t>Normand</t>
  </si>
  <si>
    <t>vf de Desmoulins, Marie Joseph</t>
  </si>
  <si>
    <t>r du Chemin Vert, 17</t>
  </si>
  <si>
    <t>x (Lefaye)+Y(Duhamel)+sa femme</t>
  </si>
  <si>
    <t>26-11-1817</t>
  </si>
  <si>
    <t>m r aux Ours, 27</t>
  </si>
  <si>
    <t>Pareau</t>
  </si>
  <si>
    <t>pagot Anne Marguerite +14-12-1819</t>
  </si>
  <si>
    <t>Neveux et  nieces et petits neveux et petites nieces</t>
  </si>
  <si>
    <t>P de M Fb st martin 243-244 et Chateau landon 18 et P de terr</t>
  </si>
  <si>
    <t>PEM</t>
  </si>
  <si>
    <t>Perre</t>
  </si>
  <si>
    <t>Vf Fiche Marie anne</t>
  </si>
  <si>
    <t>Charles Jean Francois</t>
  </si>
  <si>
    <t>Marie Stuart 3</t>
  </si>
  <si>
    <t>her 5</t>
  </si>
  <si>
    <t>28-1-1818</t>
  </si>
  <si>
    <t>Perrée</t>
  </si>
  <si>
    <t>Lambert</t>
  </si>
  <si>
    <t>c</t>
  </si>
  <si>
    <t>22-6-1818</t>
  </si>
  <si>
    <t>Levasseur</t>
  </si>
  <si>
    <t>F</t>
  </si>
  <si>
    <t>rentier</t>
  </si>
  <si>
    <t>11-11-1817</t>
  </si>
  <si>
    <t>Bazin</t>
  </si>
  <si>
    <t>Nicolas</t>
  </si>
  <si>
    <t>Rentiere</t>
  </si>
  <si>
    <t>Marie Adelaide</t>
  </si>
  <si>
    <t>Marie Charlotte</t>
  </si>
  <si>
    <t>18-8-1827</t>
  </si>
  <si>
    <t>Neveux et nieces</t>
  </si>
  <si>
    <t>Durand</t>
  </si>
  <si>
    <t>8-9-1827</t>
  </si>
  <si>
    <t>A</t>
  </si>
  <si>
    <t>B</t>
  </si>
  <si>
    <t>D</t>
  </si>
  <si>
    <t>G</t>
  </si>
  <si>
    <t>L</t>
  </si>
  <si>
    <t>M</t>
  </si>
  <si>
    <t>N</t>
  </si>
  <si>
    <t>O</t>
  </si>
  <si>
    <t>P</t>
  </si>
  <si>
    <t>R</t>
  </si>
  <si>
    <t>S</t>
  </si>
  <si>
    <t>T</t>
  </si>
  <si>
    <t>V</t>
  </si>
  <si>
    <t>E</t>
  </si>
  <si>
    <t>20-1-1818</t>
  </si>
  <si>
    <t>bu</t>
  </si>
  <si>
    <t>Marie Suzanne</t>
  </si>
  <si>
    <t>6-12-1817</t>
  </si>
  <si>
    <t>Sauvage</t>
  </si>
  <si>
    <t>freres et soeurs</t>
  </si>
  <si>
    <t>Mari</t>
  </si>
  <si>
    <t>8-4-1818</t>
  </si>
  <si>
    <t>C</t>
  </si>
  <si>
    <t>CAMEL</t>
  </si>
  <si>
    <t>Marie Madeleine</t>
  </si>
  <si>
    <t>ex bouchère</t>
  </si>
  <si>
    <t>r de la Boucherie, 15 (11° arr)</t>
  </si>
  <si>
    <t>ve LEPECQ</t>
  </si>
  <si>
    <t>son fils, boucher ibid</t>
  </si>
  <si>
    <t>GILLET</t>
  </si>
  <si>
    <t>Isaure</t>
  </si>
  <si>
    <t>r Hautefeuille, 16</t>
  </si>
  <si>
    <t>ép. DULONG, Jean Baptiste</t>
  </si>
  <si>
    <t>son mari (avocat)</t>
  </si>
  <si>
    <t>22-11-1817</t>
  </si>
  <si>
    <t>5-2-1818</t>
  </si>
  <si>
    <t>rentière</t>
  </si>
  <si>
    <t>1-12-1817</t>
  </si>
  <si>
    <t>Elizabeth</t>
  </si>
  <si>
    <t>Adelaide Felicite delmas +1817</t>
  </si>
  <si>
    <t>19-6-1818</t>
  </si>
  <si>
    <t>7-7-1817</t>
  </si>
  <si>
    <t>m r du Pont aux riches, 6</t>
  </si>
  <si>
    <t>Cretté</t>
  </si>
  <si>
    <t>Marie Elisabeth</t>
  </si>
  <si>
    <t>proprietaire</t>
  </si>
  <si>
    <t>r de Judas, 9</t>
  </si>
  <si>
    <t>ve Lebrun</t>
  </si>
  <si>
    <t>Chabanetry Louis François (Neuilly) légataire+ Lebrun Marie Louise ep. Chadenot, sa fille</t>
  </si>
  <si>
    <t>10-06-1818</t>
  </si>
  <si>
    <t>maison, rue de Juda, 9</t>
  </si>
  <si>
    <t>Jacob</t>
  </si>
  <si>
    <t>Jacques Claude</t>
  </si>
  <si>
    <t>potier en terre</t>
  </si>
  <si>
    <t>r Neuve St Medard,17 (12°)</t>
  </si>
  <si>
    <t>ABR</t>
  </si>
  <si>
    <t>ANT</t>
  </si>
  <si>
    <t>ARN</t>
  </si>
  <si>
    <t>AUS</t>
  </si>
  <si>
    <t>BAL</t>
  </si>
  <si>
    <t>BARB</t>
  </si>
  <si>
    <t>Hautefeuille</t>
  </si>
  <si>
    <t>VINCENT</t>
  </si>
  <si>
    <t>8/4/1817</t>
  </si>
  <si>
    <t>FERRONERIE 11</t>
  </si>
  <si>
    <t>1/2 terr ch de Pantin 6 ety 1/2 terr chaudeau 4 et 6</t>
  </si>
  <si>
    <t>Vallet</t>
  </si>
  <si>
    <t>EP Chevet, jean baptste, Passer, claude, Leregent, philippe</t>
  </si>
  <si>
    <t>popincourt 47</t>
  </si>
  <si>
    <t>Leregent,1  Chevet2, Passey 1</t>
  </si>
  <si>
    <t>Terr Menilmontan et M Popincourt 47zzz</t>
  </si>
  <si>
    <t>12-6-1818</t>
  </si>
  <si>
    <t>Cour du harlay 21</t>
  </si>
  <si>
    <t>1/8 M St martin 76 et Charneton xx</t>
  </si>
  <si>
    <t>22-5-1817</t>
  </si>
  <si>
    <t>Villemensens</t>
  </si>
  <si>
    <t>Jean bapt Francois</t>
  </si>
  <si>
    <t>Chemin vert 6</t>
  </si>
  <si>
    <t>16-1-1817</t>
  </si>
  <si>
    <t>M precheurs 26 et chemin vert 17</t>
  </si>
  <si>
    <t>VIM</t>
  </si>
  <si>
    <t>1/2 M Fb St martin 146</t>
  </si>
  <si>
    <t>Vion</t>
  </si>
  <si>
    <t>Wf Bouclin prudence</t>
  </si>
  <si>
    <t>Fb st martin 76</t>
  </si>
  <si>
    <t>fille et petit fils</t>
  </si>
  <si>
    <t>1/2 M fb st martin 76, 1/2 Charonne au jardin et 1/2 Trognon 9</t>
  </si>
  <si>
    <t>VIQ</t>
  </si>
  <si>
    <t>VOC</t>
  </si>
  <si>
    <t>Voisin</t>
  </si>
  <si>
    <t>Antoine Henry</t>
  </si>
  <si>
    <t>Saintonge 34</t>
  </si>
  <si>
    <t>Soeurs et neveu</t>
  </si>
  <si>
    <t>2/m Saintonge 34,36</t>
  </si>
  <si>
    <t>VUA</t>
  </si>
  <si>
    <t>AZ</t>
  </si>
  <si>
    <t>DESERENCE</t>
  </si>
  <si>
    <t>FRERES ET SŒURS</t>
  </si>
  <si>
    <t>Thomas</t>
  </si>
  <si>
    <t>CUR</t>
  </si>
  <si>
    <t>DAG</t>
  </si>
  <si>
    <t>DAL</t>
  </si>
  <si>
    <t>DAM</t>
  </si>
  <si>
    <t>DAN</t>
  </si>
  <si>
    <t>PROP</t>
  </si>
  <si>
    <t>DAS</t>
  </si>
  <si>
    <t>DAU</t>
  </si>
  <si>
    <t>ENFS</t>
  </si>
  <si>
    <t>DAV</t>
  </si>
  <si>
    <t>JUI</t>
  </si>
  <si>
    <t>LAB</t>
  </si>
  <si>
    <t>LEB</t>
  </si>
  <si>
    <t>pp</t>
  </si>
  <si>
    <t>ADA</t>
  </si>
  <si>
    <t>ALA</t>
  </si>
  <si>
    <t>ALE</t>
  </si>
  <si>
    <t>AMI</t>
  </si>
  <si>
    <t>AND</t>
  </si>
  <si>
    <t>AUB</t>
  </si>
  <si>
    <t>AUF</t>
  </si>
  <si>
    <t>BAC</t>
  </si>
  <si>
    <t>BAI</t>
  </si>
  <si>
    <t>BAS</t>
  </si>
  <si>
    <t>BAT</t>
  </si>
  <si>
    <t>BAU</t>
  </si>
  <si>
    <t>BAY</t>
  </si>
  <si>
    <t>BAZ</t>
  </si>
  <si>
    <t>BEA</t>
  </si>
  <si>
    <t>BEC</t>
  </si>
  <si>
    <t>BEN</t>
  </si>
  <si>
    <t>BES</t>
  </si>
  <si>
    <t>BIC</t>
  </si>
  <si>
    <t>BID</t>
  </si>
  <si>
    <t>BIL</t>
  </si>
  <si>
    <t>BIN</t>
  </si>
  <si>
    <t>BIZ</t>
  </si>
  <si>
    <t>BLA</t>
  </si>
  <si>
    <t xml:space="preserve"> </t>
  </si>
  <si>
    <t>BLO</t>
  </si>
  <si>
    <t>BOI</t>
  </si>
  <si>
    <t>BOR</t>
  </si>
  <si>
    <t>BOS</t>
  </si>
  <si>
    <t>BRA</t>
  </si>
  <si>
    <t>BRE</t>
  </si>
  <si>
    <t>BRO</t>
  </si>
  <si>
    <t>MARI ET FILS</t>
  </si>
  <si>
    <t>PIQ</t>
  </si>
  <si>
    <t>TIT</t>
  </si>
  <si>
    <t>s</t>
  </si>
  <si>
    <t>NA/CEL</t>
  </si>
  <si>
    <t>Off de sante</t>
  </si>
  <si>
    <t>Bourbon 734</t>
  </si>
  <si>
    <t>M 10 Fosses St germain L'auxerois</t>
  </si>
  <si>
    <t>frippier</t>
  </si>
  <si>
    <t>Tonnelerie 25</t>
  </si>
  <si>
    <t>Gonaut Marie Francoise</t>
  </si>
  <si>
    <t>M quai Megiseerie 17</t>
  </si>
  <si>
    <t>AUQ</t>
  </si>
  <si>
    <t>Oblin 5</t>
  </si>
  <si>
    <t>Ve pas d'ascendant ni descendent</t>
  </si>
  <si>
    <t>M Bouloy 16</t>
  </si>
  <si>
    <t>Rousseau Antoinette Guillemette Victoire</t>
  </si>
  <si>
    <t>Ve don et enf</t>
  </si>
  <si>
    <t>YONNE</t>
  </si>
  <si>
    <t>Melchior Rene</t>
  </si>
  <si>
    <t>x Orfevre</t>
  </si>
  <si>
    <t>Q ecole 24</t>
  </si>
  <si>
    <t>vf Prevost Guillaumette</t>
  </si>
  <si>
    <t>Fille et lPNP</t>
  </si>
  <si>
    <t>9-1-1817</t>
  </si>
  <si>
    <t>Barrat</t>
  </si>
  <si>
    <t>Fb St antoine 165</t>
  </si>
  <si>
    <t>29-11-1817</t>
  </si>
  <si>
    <t>1/3 M tirechappe 7</t>
  </si>
  <si>
    <t>Git le Coeur 12</t>
  </si>
  <si>
    <t>Durand Catherine Antoinette</t>
  </si>
  <si>
    <t>Fils Min et ve</t>
  </si>
  <si>
    <t>18-5-1817</t>
  </si>
  <si>
    <t>Tiquetonne 6</t>
  </si>
  <si>
    <t xml:space="preserve">BEL </t>
  </si>
  <si>
    <t>Belon</t>
  </si>
  <si>
    <t>Marg Francoise</t>
  </si>
  <si>
    <t>Montmartre 41</t>
  </si>
  <si>
    <t>Bontentuit pierre mathurin chirurgien</t>
  </si>
  <si>
    <t>pas d'hoir</t>
  </si>
  <si>
    <t>Fb Poissoniere 8</t>
  </si>
  <si>
    <t>Vf Marie Pauline Gaudin</t>
  </si>
  <si>
    <t>Enfent et 1 petit fils Et LPNP</t>
  </si>
  <si>
    <t>Claude Alexandre</t>
  </si>
  <si>
    <t>X Che de div au bur de la guerre</t>
  </si>
  <si>
    <t>Fb St denis 163</t>
  </si>
  <si>
    <t>Jeanne Jacquine Renne Lair Ve Sohier De Vilmer LUNP</t>
  </si>
  <si>
    <t>Fb St Denis 16</t>
  </si>
  <si>
    <t xml:space="preserve">BID </t>
  </si>
  <si>
    <t>Biderman</t>
  </si>
  <si>
    <t>Odier Gabrielle Aimee</t>
  </si>
  <si>
    <t>Enfants et ve</t>
  </si>
  <si>
    <t>4-3-1819</t>
  </si>
  <si>
    <t>X avocat et prop</t>
  </si>
  <si>
    <t>Places des victoires 2</t>
  </si>
  <si>
    <t>Bertholet Elisabeth Julie</t>
  </si>
  <si>
    <t>Fils 1 et 3 autres bonnard</t>
  </si>
  <si>
    <t>2-11-1817</t>
  </si>
  <si>
    <t>Bonnafox de Malet</t>
  </si>
  <si>
    <t>Julien</t>
  </si>
  <si>
    <t>Thibautode 7</t>
  </si>
  <si>
    <t>Pager Marie Anne Genevieve</t>
  </si>
  <si>
    <t>Boderon</t>
  </si>
  <si>
    <t>Vieux augustins 40</t>
  </si>
  <si>
    <t>Revenez Claude Com priz</t>
  </si>
  <si>
    <t>Mere soeur mari usu</t>
  </si>
  <si>
    <t>NA/VF</t>
  </si>
  <si>
    <t>Bouquet</t>
  </si>
  <si>
    <t>Rene Charles</t>
  </si>
  <si>
    <t>X avocat aux conseils</t>
  </si>
  <si>
    <t>Nd Victoires 34</t>
  </si>
  <si>
    <t>Dreux Marguerite elizabeth</t>
  </si>
  <si>
    <t xml:space="preserve">NA  </t>
  </si>
  <si>
    <t>BRUI</t>
  </si>
  <si>
    <t>1/3 M Cordonierie 30</t>
  </si>
  <si>
    <t>Cossonerie 25</t>
  </si>
  <si>
    <t>Vf Anne henriette Laullier</t>
  </si>
  <si>
    <t>8-2-1845 #63</t>
  </si>
  <si>
    <t>27-5-1845 #235</t>
  </si>
  <si>
    <t>St Paul 4</t>
  </si>
  <si>
    <t>M Desprech 15 et M St Germain l'auxerois 82</t>
  </si>
  <si>
    <t>Chabert</t>
  </si>
  <si>
    <t>Clery 7</t>
  </si>
  <si>
    <t>Galllon Henry francois</t>
  </si>
  <si>
    <t>frere et fille et 5 enfants d'un premiere mariage</t>
  </si>
  <si>
    <t>28-8-1829</t>
  </si>
  <si>
    <t>Champagnon</t>
  </si>
  <si>
    <t>Joseph Paulard</t>
  </si>
  <si>
    <t>Verdelet 4</t>
  </si>
  <si>
    <t>Delassale Madelaine Victoire</t>
  </si>
  <si>
    <t>Chartran</t>
  </si>
  <si>
    <t xml:space="preserve">Jean </t>
  </si>
  <si>
    <t>Grenelle st Honore 37</t>
  </si>
  <si>
    <t>Gervais Louis</t>
  </si>
  <si>
    <t>Md Tapissier</t>
  </si>
  <si>
    <t>Tonnelerie 20</t>
  </si>
  <si>
    <t>Gontier Marie Louise Melanie</t>
  </si>
  <si>
    <t>Enf min et ve</t>
  </si>
  <si>
    <t>3-101-1817</t>
  </si>
  <si>
    <t>M Poterie 17</t>
  </si>
  <si>
    <t>Chaude</t>
  </si>
  <si>
    <t>Alexandrine victoire</t>
  </si>
  <si>
    <t>Place de l'ecole</t>
  </si>
  <si>
    <t>Dumaine Nicolas eugene epicier</t>
  </si>
  <si>
    <t>mari 1/2 usu fils 1</t>
  </si>
  <si>
    <t>10-4-1818</t>
  </si>
  <si>
    <t>Mari Et enfants 3</t>
  </si>
  <si>
    <t>St Honore 85</t>
  </si>
  <si>
    <t>marie Charlotte</t>
  </si>
  <si>
    <t>Chevalier J-N prop</t>
  </si>
  <si>
    <t>mari fils petite fille</t>
  </si>
  <si>
    <t>1/2 Chantre 21</t>
  </si>
  <si>
    <t>M Montmartre 64 et M JJ rousseau</t>
  </si>
  <si>
    <t>COEURDEVILLE</t>
  </si>
  <si>
    <t>95 MONTMARTRE</t>
  </si>
  <si>
    <t>Boudon 12</t>
  </si>
  <si>
    <t>Hudene marie Josephe</t>
  </si>
  <si>
    <t>Crieur a la maree</t>
  </si>
  <si>
    <t>Potier d'etain 38</t>
  </si>
  <si>
    <t>Theraille Marie Louise</t>
  </si>
  <si>
    <t>ve 1/4 enfants</t>
  </si>
  <si>
    <t>Harpe 35</t>
  </si>
  <si>
    <t>1 delabrissiere</t>
  </si>
  <si>
    <t>marie Suzanne</t>
  </si>
  <si>
    <t>Cimetiere sada 13</t>
  </si>
  <si>
    <t>ve Jean Belim x avocat</t>
  </si>
  <si>
    <t>Belime 1</t>
  </si>
  <si>
    <t>25-10-1817</t>
  </si>
  <si>
    <t>M cimetiere SaDA 13</t>
  </si>
  <si>
    <t>Jardin du  roi 19</t>
  </si>
  <si>
    <t>De pierray</t>
  </si>
  <si>
    <t>caroline</t>
  </si>
  <si>
    <t>Nouvelle Orleans</t>
  </si>
  <si>
    <t>Guillermin J Arnand Francois consul de France a la NO</t>
  </si>
  <si>
    <t>4-9-1824</t>
  </si>
  <si>
    <t>Fosses du temple 53</t>
  </si>
  <si>
    <t>Ve nicolet</t>
  </si>
  <si>
    <t>Deveria</t>
  </si>
  <si>
    <t>Jacques Jean</t>
  </si>
  <si>
    <t>X libraire</t>
  </si>
  <si>
    <t>Haroe 35</t>
  </si>
  <si>
    <t>neveu</t>
  </si>
  <si>
    <t>28-6-1817</t>
  </si>
  <si>
    <t>Dhiris</t>
  </si>
  <si>
    <t>Anne Charlotte renee</t>
  </si>
  <si>
    <t>d'enfer 20</t>
  </si>
  <si>
    <t>Gabriel charles bidault</t>
  </si>
  <si>
    <t>Doffermont</t>
  </si>
  <si>
    <t>Francoise Adelaide Henriette</t>
  </si>
  <si>
    <t>Carefour Odeon 1</t>
  </si>
  <si>
    <t>Gaspard henri debost</t>
  </si>
  <si>
    <t>enfants 2 et mari</t>
  </si>
  <si>
    <t>Fer a moulin 14</t>
  </si>
  <si>
    <t>Estienne Larivierre</t>
  </si>
  <si>
    <t>Charenton</t>
  </si>
  <si>
    <t>sa ve</t>
  </si>
  <si>
    <t>Contrescarpe 1 et 3</t>
  </si>
  <si>
    <t>Maria</t>
  </si>
  <si>
    <t>Cultivateur</t>
  </si>
  <si>
    <t>Paucquer</t>
  </si>
  <si>
    <t>1 maria</t>
  </si>
  <si>
    <t>1/10 de 3 m stvictor 6</t>
  </si>
  <si>
    <t>st jacques 111</t>
  </si>
  <si>
    <t>Martin Dite le prince</t>
  </si>
  <si>
    <t>Coutiere</t>
  </si>
  <si>
    <t>8-11-1817</t>
  </si>
  <si>
    <t>Messier</t>
  </si>
  <si>
    <t>Astronome de la marine</t>
  </si>
  <si>
    <t>mathurins st jacques</t>
  </si>
  <si>
    <t>Vf Cath Marie Madelaine de vermesuhaut</t>
  </si>
  <si>
    <t>1 messier</t>
  </si>
  <si>
    <t>26-7-1817</t>
  </si>
  <si>
    <t>Champ des capucinnes 33</t>
  </si>
  <si>
    <t>Macon 16</t>
  </si>
  <si>
    <t>Jacques</t>
  </si>
  <si>
    <t>2-10-1817</t>
  </si>
  <si>
    <t>13-5-1818</t>
  </si>
  <si>
    <t>Mere et Soeur</t>
  </si>
  <si>
    <t>x Avocat L</t>
  </si>
  <si>
    <t>St jean de beauvais 6</t>
  </si>
  <si>
    <t>Terr friche ND Champs</t>
  </si>
  <si>
    <t>Cerati</t>
  </si>
  <si>
    <t>Louise Colombe Jeronime</t>
  </si>
  <si>
    <t>Hautefeuille 18</t>
  </si>
  <si>
    <t>Michalet Jacques Damien employe</t>
  </si>
  <si>
    <t>Fils min</t>
  </si>
  <si>
    <t>Chaillou</t>
  </si>
  <si>
    <t>Copeau 19</t>
  </si>
  <si>
    <t>Ve Baudry Thomas Vinaigriere</t>
  </si>
  <si>
    <t>Guid'epenoux de Matha</t>
  </si>
  <si>
    <t>Vesoul</t>
  </si>
  <si>
    <t>Absent</t>
  </si>
  <si>
    <t>na</t>
  </si>
  <si>
    <t>8-4-1820</t>
  </si>
  <si>
    <t>Guilhem</t>
  </si>
  <si>
    <t>Julien Genevieve</t>
  </si>
  <si>
    <t>Clairvaut Aube</t>
  </si>
  <si>
    <t>Poisson</t>
  </si>
  <si>
    <t>Philippe</t>
  </si>
  <si>
    <t>Michel dite delisle</t>
  </si>
  <si>
    <t>Angelique</t>
  </si>
  <si>
    <t>Macoin 16</t>
  </si>
  <si>
    <t>Ve jean Charles Levasseur</t>
  </si>
  <si>
    <t>St severin 20</t>
  </si>
  <si>
    <t>Fb st germain 8</t>
  </si>
  <si>
    <t>Moreau</t>
  </si>
  <si>
    <t>Andrien Antoine</t>
  </si>
  <si>
    <t>13-6-1818</t>
  </si>
  <si>
    <t>enf min</t>
  </si>
  <si>
    <t>Lemaire</t>
  </si>
  <si>
    <t>Marie Catherine</t>
  </si>
  <si>
    <t>22-12-1817</t>
  </si>
  <si>
    <t>sa fille</t>
  </si>
  <si>
    <t>Macon 6</t>
  </si>
  <si>
    <t>M et terr Marchaux 22 et Fosses st Marcel 27 et 29</t>
  </si>
  <si>
    <t>Ligne</t>
  </si>
  <si>
    <t>Cendrier 1</t>
  </si>
  <si>
    <t>laurent Boulard</t>
  </si>
  <si>
    <t>fils et marie</t>
  </si>
  <si>
    <t>29-5-1818</t>
  </si>
  <si>
    <t>Loche</t>
  </si>
  <si>
    <t>Mathurin robert</t>
  </si>
  <si>
    <t>De conde 22</t>
  </si>
  <si>
    <t>1 her loche</t>
  </si>
  <si>
    <t>Longpres</t>
  </si>
  <si>
    <t>Le prince 26</t>
  </si>
  <si>
    <t>Marie Marguerite Mauvielle</t>
  </si>
  <si>
    <t>4-11-1817</t>
  </si>
  <si>
    <t>Poitevins 3</t>
  </si>
  <si>
    <t>Mansard</t>
  </si>
  <si>
    <t>Charettiere 9</t>
  </si>
  <si>
    <t>Lemonnier</t>
  </si>
  <si>
    <t>Malter</t>
  </si>
  <si>
    <t>Marie adrienne Francoise</t>
  </si>
  <si>
    <t>Grenelle 46</t>
  </si>
  <si>
    <t>Farcy</t>
  </si>
  <si>
    <t>enfants et mari</t>
  </si>
  <si>
    <t>12-2-1818</t>
  </si>
  <si>
    <t>Cassette 17</t>
  </si>
  <si>
    <t>Mouffetard 72</t>
  </si>
  <si>
    <t>4-7-1817</t>
  </si>
  <si>
    <t>Jean-Baptiste</t>
  </si>
  <si>
    <t>21-4-1818</t>
  </si>
  <si>
    <t>Duval</t>
  </si>
  <si>
    <t>md vin</t>
  </si>
  <si>
    <t>Jean Louis</t>
  </si>
  <si>
    <t>19-11-1817</t>
  </si>
  <si>
    <t>Verte 24</t>
  </si>
  <si>
    <t>Fils</t>
  </si>
  <si>
    <t>Mari et enfants</t>
  </si>
  <si>
    <t>4-8-1817</t>
  </si>
  <si>
    <t>Leduc</t>
  </si>
  <si>
    <t>Jean Francois</t>
  </si>
  <si>
    <t>8-9-1817</t>
  </si>
  <si>
    <t>26-12-1817</t>
  </si>
  <si>
    <t>enf</t>
  </si>
  <si>
    <t>mari</t>
  </si>
  <si>
    <t>15-9-1817</t>
  </si>
  <si>
    <t>M anglais 4</t>
  </si>
  <si>
    <t>vf</t>
  </si>
  <si>
    <t>mineure</t>
  </si>
  <si>
    <t>2-4-1818</t>
  </si>
  <si>
    <t>Boyer</t>
  </si>
  <si>
    <t>10-11-1817</t>
  </si>
  <si>
    <t>6-2-1818</t>
  </si>
  <si>
    <t>Boussenard</t>
  </si>
  <si>
    <t>François</t>
  </si>
  <si>
    <t>fils</t>
  </si>
  <si>
    <t>Pierre Nicolas</t>
  </si>
  <si>
    <t>Brest</t>
  </si>
  <si>
    <t>J</t>
  </si>
  <si>
    <t>29-9-1817</t>
  </si>
  <si>
    <t>Colas</t>
  </si>
  <si>
    <t>Enfants et mari</t>
  </si>
  <si>
    <t>Watelin</t>
  </si>
  <si>
    <t>Noel Firmin</t>
  </si>
  <si>
    <t>Odeon 20</t>
  </si>
  <si>
    <t>Guillaume Aglae victoire jeanne</t>
  </si>
  <si>
    <t>fille et ve</t>
  </si>
  <si>
    <t>6-5-1818</t>
  </si>
  <si>
    <t>5-10-1818</t>
  </si>
  <si>
    <t>Vaussy</t>
  </si>
  <si>
    <t>Jean Joseph</t>
  </si>
  <si>
    <t>La comete 4</t>
  </si>
  <si>
    <t>Colat</t>
  </si>
  <si>
    <t>M st Jean de beauvais 19</t>
  </si>
  <si>
    <t>Venet</t>
  </si>
  <si>
    <t>Q St Bernard</t>
  </si>
  <si>
    <t>12-5-1817</t>
  </si>
  <si>
    <t>Marie therese</t>
  </si>
  <si>
    <t>her 2</t>
  </si>
  <si>
    <t>Jean baptiste</t>
  </si>
  <si>
    <t>21-4-1828</t>
  </si>
  <si>
    <t>frere et mere</t>
  </si>
  <si>
    <t>5-3-1818</t>
  </si>
  <si>
    <t>M St jacques</t>
  </si>
  <si>
    <t>24-11-1827</t>
  </si>
  <si>
    <t>BEZ</t>
  </si>
  <si>
    <t>ENF</t>
  </si>
  <si>
    <t>BONI</t>
  </si>
  <si>
    <t>BARR</t>
  </si>
  <si>
    <t>BOUC</t>
  </si>
  <si>
    <t>BOUD</t>
  </si>
  <si>
    <t>NIECE</t>
  </si>
  <si>
    <t>BOUL</t>
  </si>
  <si>
    <t>BRUL</t>
  </si>
  <si>
    <t>BRIO</t>
  </si>
  <si>
    <t>BIG</t>
  </si>
  <si>
    <t>BOUS</t>
  </si>
  <si>
    <t>BRIL</t>
  </si>
  <si>
    <t>BERA</t>
  </si>
  <si>
    <t>BARA</t>
  </si>
  <si>
    <t>BERT</t>
  </si>
  <si>
    <t>BOURG</t>
  </si>
  <si>
    <t>BRUA</t>
  </si>
  <si>
    <t>BAB</t>
  </si>
  <si>
    <t>BONN</t>
  </si>
  <si>
    <t>RENE</t>
  </si>
  <si>
    <t>NON PARENT</t>
  </si>
  <si>
    <t>BRIG</t>
  </si>
  <si>
    <t>COLL</t>
  </si>
  <si>
    <t>CHARP</t>
  </si>
  <si>
    <t>CARO</t>
  </si>
  <si>
    <t>COUR</t>
  </si>
  <si>
    <t>CART</t>
  </si>
  <si>
    <t>CHI</t>
  </si>
  <si>
    <t>COUL</t>
  </si>
  <si>
    <t>CAT</t>
  </si>
  <si>
    <t>CUS</t>
  </si>
  <si>
    <t>CLA</t>
  </si>
  <si>
    <t>COC</t>
  </si>
  <si>
    <t>CHAM</t>
  </si>
  <si>
    <t>Lecomte</t>
  </si>
  <si>
    <t>PASSY</t>
  </si>
  <si>
    <t>RENA</t>
  </si>
  <si>
    <t>REM</t>
  </si>
  <si>
    <t>RIV</t>
  </si>
  <si>
    <t>ROQ</t>
  </si>
  <si>
    <t>CHARLES</t>
  </si>
  <si>
    <t>RAM</t>
  </si>
  <si>
    <t>FRERES</t>
  </si>
  <si>
    <t>RUS</t>
  </si>
  <si>
    <t>STA</t>
  </si>
  <si>
    <t>SCH</t>
  </si>
  <si>
    <t>SOR</t>
  </si>
  <si>
    <t>FRERE</t>
  </si>
  <si>
    <t>THIBERT</t>
  </si>
  <si>
    <t>TUP</t>
  </si>
  <si>
    <t>TEL</t>
  </si>
  <si>
    <t>TRE</t>
  </si>
  <si>
    <t>TRI</t>
  </si>
  <si>
    <t>VOI</t>
  </si>
  <si>
    <t>VEZ</t>
  </si>
  <si>
    <t>VIO</t>
  </si>
  <si>
    <t>ACA</t>
  </si>
  <si>
    <t>ALB</t>
  </si>
  <si>
    <t>AUR</t>
  </si>
  <si>
    <t>Bourg labbe 31</t>
  </si>
  <si>
    <t>BOUT</t>
  </si>
  <si>
    <t>BART</t>
  </si>
  <si>
    <t>Marie Victoire</t>
  </si>
  <si>
    <t>médecin</t>
  </si>
  <si>
    <t>BUC</t>
  </si>
  <si>
    <t>BERN</t>
  </si>
  <si>
    <t>Marie Françoise</t>
  </si>
  <si>
    <t>BRIC</t>
  </si>
  <si>
    <t>BARD</t>
  </si>
  <si>
    <t>BERTR</t>
  </si>
  <si>
    <t>jacques</t>
  </si>
  <si>
    <t>Na</t>
  </si>
  <si>
    <t>PAR</t>
  </si>
  <si>
    <t>PET</t>
  </si>
  <si>
    <t>Jeanne Catherine</t>
  </si>
  <si>
    <t>ROB</t>
  </si>
  <si>
    <t>SEP</t>
  </si>
  <si>
    <t>THO</t>
  </si>
  <si>
    <t>TOU</t>
  </si>
  <si>
    <t>THI</t>
  </si>
  <si>
    <t>TIR</t>
  </si>
  <si>
    <t>TAF</t>
  </si>
  <si>
    <t>TRU</t>
  </si>
  <si>
    <t>TAS</t>
  </si>
  <si>
    <t>THE</t>
  </si>
  <si>
    <t>TAL</t>
  </si>
  <si>
    <t>TAR</t>
  </si>
  <si>
    <t>ve+4 enf</t>
  </si>
  <si>
    <t>VER</t>
  </si>
  <si>
    <t>enf et petits enf</t>
  </si>
  <si>
    <t>Alexandre Louis</t>
  </si>
  <si>
    <t>DEF</t>
  </si>
  <si>
    <t>RENTIERE</t>
  </si>
  <si>
    <t>voiturier</t>
  </si>
  <si>
    <t>pontoise</t>
  </si>
  <si>
    <t>Garnot</t>
  </si>
  <si>
    <t>petit lion</t>
  </si>
  <si>
    <t>Dubillion marie claude</t>
  </si>
  <si>
    <t>GARN</t>
  </si>
  <si>
    <t>marie Victoire</t>
  </si>
  <si>
    <t>Cassette</t>
  </si>
  <si>
    <t>Gasche Louis Dominique antoine</t>
  </si>
  <si>
    <t>Fille min</t>
  </si>
  <si>
    <t>14-3-1818</t>
  </si>
  <si>
    <t>Gasche</t>
  </si>
  <si>
    <t>GAUD</t>
  </si>
  <si>
    <t>Marie Antoinette</t>
  </si>
  <si>
    <t>Harlay</t>
  </si>
  <si>
    <t>GAUL</t>
  </si>
  <si>
    <t>2m parcheminerie 10 12</t>
  </si>
  <si>
    <t>Gauthier</t>
  </si>
  <si>
    <t>MD Quincaillier</t>
  </si>
  <si>
    <t>ma vergeot jeanne elizabeth</t>
  </si>
  <si>
    <t>gauthier et friacre md bouchon huchette</t>
  </si>
  <si>
    <t>12-6-1817</t>
  </si>
  <si>
    <t>GAUT</t>
  </si>
  <si>
    <t>GAV</t>
  </si>
  <si>
    <t>Medecin</t>
  </si>
  <si>
    <t>GEM</t>
  </si>
  <si>
    <t>GEN</t>
  </si>
  <si>
    <t>Bievre 33</t>
  </si>
  <si>
    <t>Trone Etienne</t>
  </si>
  <si>
    <t>MA LU</t>
  </si>
  <si>
    <t>28-9-1822</t>
  </si>
  <si>
    <t>GEO</t>
  </si>
  <si>
    <t>Poules</t>
  </si>
  <si>
    <t>Guillaume</t>
  </si>
  <si>
    <t>orfevre</t>
  </si>
  <si>
    <t>q des Orfevres</t>
  </si>
  <si>
    <t>ma legros Louise francoisee</t>
  </si>
  <si>
    <t>10-9-1817</t>
  </si>
  <si>
    <t>GER</t>
  </si>
  <si>
    <t>GIB</t>
  </si>
  <si>
    <t>GIL</t>
  </si>
  <si>
    <t>Corbeil</t>
  </si>
  <si>
    <t>GIRA</t>
  </si>
  <si>
    <t>Girod</t>
  </si>
  <si>
    <t>St Victor 117</t>
  </si>
  <si>
    <t>Ma Leleu Nicolas Md Charcutier</t>
  </si>
  <si>
    <t>GRAN</t>
  </si>
  <si>
    <t>GRAS</t>
  </si>
  <si>
    <t>GRAV</t>
  </si>
  <si>
    <t>GRE</t>
  </si>
  <si>
    <t>GRI</t>
  </si>
  <si>
    <t>GRO</t>
  </si>
  <si>
    <t>GRumbman</t>
  </si>
  <si>
    <t>Guenard de Monville</t>
  </si>
  <si>
    <t>Genevive robert</t>
  </si>
  <si>
    <t>enfer</t>
  </si>
  <si>
    <t>ve Pierre Bellart avocat au conseil</t>
  </si>
  <si>
    <t>17-9-1817</t>
  </si>
  <si>
    <t>GUER</t>
  </si>
  <si>
    <t>Gueur</t>
  </si>
  <si>
    <t>Guib</t>
  </si>
  <si>
    <t>Louise Gabrielle</t>
  </si>
  <si>
    <t>Ve Logerot</t>
  </si>
  <si>
    <t>GUIC</t>
  </si>
  <si>
    <t>GUILLE</t>
  </si>
  <si>
    <t>GUILLO</t>
  </si>
  <si>
    <t>GUILLY</t>
  </si>
  <si>
    <t>GUY</t>
  </si>
  <si>
    <t>HAL</t>
  </si>
  <si>
    <t>HAR</t>
  </si>
  <si>
    <t>HAT</t>
  </si>
  <si>
    <t>HAU</t>
  </si>
  <si>
    <t>Hediart</t>
  </si>
  <si>
    <t>Perdie</t>
  </si>
  <si>
    <t>Ma Mesnart J-B Menusuier</t>
  </si>
  <si>
    <t>Fils et autre</t>
  </si>
  <si>
    <t>HEL</t>
  </si>
  <si>
    <t>HENR</t>
  </si>
  <si>
    <t>GAS</t>
  </si>
  <si>
    <t>Anne Louise</t>
  </si>
  <si>
    <t>Vincent</t>
  </si>
  <si>
    <t>GIR</t>
  </si>
  <si>
    <t>GOUB</t>
  </si>
  <si>
    <t>ancien notaire</t>
  </si>
  <si>
    <t>GRA</t>
  </si>
  <si>
    <t>GUI</t>
  </si>
  <si>
    <t>FILS</t>
  </si>
  <si>
    <t>Larcher</t>
  </si>
  <si>
    <t>GOU</t>
  </si>
  <si>
    <t>HEM</t>
  </si>
  <si>
    <t>HOL</t>
  </si>
  <si>
    <t>HUB</t>
  </si>
  <si>
    <t>PIO</t>
  </si>
  <si>
    <t>PIS</t>
  </si>
  <si>
    <t>PLA</t>
  </si>
  <si>
    <t>st andre des arts 5</t>
  </si>
  <si>
    <t>Vf Francoise Laurent</t>
  </si>
  <si>
    <t>12-12-1817</t>
  </si>
  <si>
    <t>St andre des arts 5</t>
  </si>
  <si>
    <t>Place maubert 42.44 cul de sac d'amboise</t>
  </si>
  <si>
    <t>Legrand</t>
  </si>
  <si>
    <t>Alexis</t>
  </si>
  <si>
    <t>Mt macon et prop</t>
  </si>
  <si>
    <t>Place maubert 9</t>
  </si>
  <si>
    <t>Francoise Anne Bodin</t>
  </si>
  <si>
    <t>Ve</t>
  </si>
  <si>
    <t>Leroy</t>
  </si>
  <si>
    <t>Amidonnier</t>
  </si>
  <si>
    <t>Franc bourgeois 6</t>
  </si>
  <si>
    <t>1 leroy</t>
  </si>
  <si>
    <t>17-8-1817</t>
  </si>
  <si>
    <t>Lenormand d'assenet</t>
  </si>
  <si>
    <t>Honorat</t>
  </si>
  <si>
    <t>ve et enf</t>
  </si>
  <si>
    <t>Jean Pierre</t>
  </si>
  <si>
    <t>24-9-1817</t>
  </si>
  <si>
    <t>Total</t>
  </si>
  <si>
    <t>cote</t>
  </si>
  <si>
    <t>Annee</t>
  </si>
  <si>
    <t>ID#</t>
  </si>
  <si>
    <t>&gt;Valmob</t>
  </si>
  <si>
    <t>&gt;revimmob</t>
  </si>
  <si>
    <t>Nom</t>
  </si>
  <si>
    <t>prénom</t>
  </si>
  <si>
    <t>prof</t>
  </si>
  <si>
    <t>adres</t>
  </si>
  <si>
    <t>âge</t>
  </si>
  <si>
    <t>j+</t>
  </si>
  <si>
    <t>m+</t>
  </si>
  <si>
    <t>Ldeces</t>
  </si>
  <si>
    <t>situamaritale</t>
  </si>
  <si>
    <t>DCL 1</t>
  </si>
  <si>
    <t>NDCL 1</t>
  </si>
  <si>
    <t>DCL2</t>
  </si>
  <si>
    <t>Ndcl 2</t>
  </si>
  <si>
    <t>Heritiers</t>
  </si>
  <si>
    <t>DCL 3</t>
  </si>
  <si>
    <t>NDCL 3</t>
  </si>
  <si>
    <t>DCL 4</t>
  </si>
  <si>
    <t>NDCL 4</t>
  </si>
  <si>
    <t>adresimm</t>
  </si>
  <si>
    <t>sex</t>
  </si>
  <si>
    <t>h</t>
  </si>
  <si>
    <t>f</t>
  </si>
  <si>
    <t>Marie Anne</t>
  </si>
  <si>
    <t>Jean</t>
  </si>
  <si>
    <t>Pierre Jacques</t>
  </si>
  <si>
    <t>ppt</t>
  </si>
  <si>
    <t>Jean Baptiste</t>
  </si>
  <si>
    <t>NA</t>
  </si>
  <si>
    <t>1-6-1818</t>
  </si>
  <si>
    <t>H</t>
  </si>
  <si>
    <t>Michel</t>
  </si>
  <si>
    <t>Prop</t>
  </si>
  <si>
    <t>12-3-1818</t>
  </si>
  <si>
    <t>Marie Genevieve</t>
  </si>
  <si>
    <t>Martin</t>
  </si>
  <si>
    <t>prop</t>
  </si>
  <si>
    <t>P de m  Orleans st Vincent 41</t>
  </si>
  <si>
    <t>Maison fosses st germain et m cour du commerce 8</t>
  </si>
  <si>
    <t>Marie Claude</t>
  </si>
  <si>
    <t>Q des orfevres 68</t>
  </si>
  <si>
    <t>ve propsper louis antoine renault</t>
  </si>
  <si>
    <t>19-5-1817</t>
  </si>
  <si>
    <t>Perron</t>
  </si>
  <si>
    <t>Perard</t>
  </si>
  <si>
    <t>Michel Jean</t>
  </si>
  <si>
    <t>employe au tresoir royal</t>
  </si>
  <si>
    <t>q des augustins 37</t>
  </si>
  <si>
    <t>St jacques 46,48</t>
  </si>
  <si>
    <t>Pomme</t>
  </si>
  <si>
    <t>Francois Augustin</t>
  </si>
  <si>
    <t>x notaire</t>
  </si>
  <si>
    <t>Pomme mineur</t>
  </si>
  <si>
    <t>20-10-1817</t>
  </si>
  <si>
    <t>21-10-1817</t>
  </si>
  <si>
    <t>Potel</t>
  </si>
  <si>
    <t>Jean Marie Joseph</t>
  </si>
  <si>
    <t>Capitaine retraite</t>
  </si>
  <si>
    <t>Fosses mr le prince 49</t>
  </si>
  <si>
    <t>Josephine Muraure</t>
  </si>
  <si>
    <t>Prestat</t>
  </si>
  <si>
    <t>Adelaide Marie</t>
  </si>
  <si>
    <t>St victor 92</t>
  </si>
  <si>
    <t>Ve sainton</t>
  </si>
  <si>
    <t>Sainton</t>
  </si>
  <si>
    <t>29-1-1818</t>
  </si>
  <si>
    <t>19-11-1818</t>
  </si>
  <si>
    <t>Richier</t>
  </si>
  <si>
    <t>Guillaume 5</t>
  </si>
  <si>
    <t>Ve J-B Joseph chandor</t>
  </si>
  <si>
    <t>Chandor</t>
  </si>
  <si>
    <t>Vieux colombier 5</t>
  </si>
  <si>
    <t>Cressan</t>
  </si>
  <si>
    <t>Jacinthe et Galande 20 et Descarte 52</t>
  </si>
  <si>
    <t>Vielle Boucherie 17</t>
  </si>
  <si>
    <t>Rouviere</t>
  </si>
  <si>
    <t>Marie Michele Josephe</t>
  </si>
  <si>
    <t>galande 20</t>
  </si>
  <si>
    <t>Buzenet Maurice</t>
  </si>
  <si>
    <t>Sandre</t>
  </si>
  <si>
    <t>Jean Etienne</t>
  </si>
  <si>
    <t>Gainier</t>
  </si>
  <si>
    <t>Q horloge 77</t>
  </si>
  <si>
    <t>Salot Marie Catherine Victoire</t>
  </si>
  <si>
    <t xml:space="preserve">Ve </t>
  </si>
  <si>
    <t>20-9-1817</t>
  </si>
  <si>
    <t>Godefroy Jean Louis</t>
  </si>
  <si>
    <t>Fabre et mari</t>
  </si>
  <si>
    <t>1-12-1819</t>
  </si>
  <si>
    <t>Sainton mort en 17</t>
  </si>
  <si>
    <t>marie</t>
  </si>
  <si>
    <t>fils et femme</t>
  </si>
  <si>
    <t>23-1-1818</t>
  </si>
  <si>
    <t>pm St victor 92 et 93</t>
  </si>
  <si>
    <t>foin 13</t>
  </si>
  <si>
    <t>Macon 3</t>
  </si>
  <si>
    <t>eV fortier</t>
  </si>
  <si>
    <t>18-4-17</t>
  </si>
  <si>
    <t>Bai</t>
  </si>
  <si>
    <t>bal</t>
  </si>
  <si>
    <t>Barthelemy dit desbarre</t>
  </si>
  <si>
    <t>Andre</t>
  </si>
  <si>
    <t>sada</t>
  </si>
  <si>
    <t>Bat</t>
  </si>
  <si>
    <t>Ban</t>
  </si>
  <si>
    <t>Bau</t>
  </si>
  <si>
    <t>Baufre</t>
  </si>
  <si>
    <t>St Jean De beauvas</t>
  </si>
  <si>
    <t>Ma Masque</t>
  </si>
  <si>
    <t>Baudin</t>
  </si>
  <si>
    <t>Petit Lion</t>
  </si>
  <si>
    <t>Ma Gilbert</t>
  </si>
  <si>
    <t>Baudry</t>
  </si>
  <si>
    <t>Pauline Louise</t>
  </si>
  <si>
    <t>Moufetard 150</t>
  </si>
  <si>
    <t>Baverel</t>
  </si>
  <si>
    <t>Albertine Antoinette</t>
  </si>
  <si>
    <t>ve Guyot</t>
  </si>
  <si>
    <t>23-10-1817</t>
  </si>
  <si>
    <t>Bayel</t>
  </si>
  <si>
    <t>rene etienne</t>
  </si>
  <si>
    <t>serrurier</t>
  </si>
  <si>
    <t>Baz</t>
  </si>
  <si>
    <t>Beaudineaux</t>
  </si>
  <si>
    <t>Fosses st bernard</t>
  </si>
  <si>
    <t>3-7-1817</t>
  </si>
  <si>
    <t>ma Flamand</t>
  </si>
  <si>
    <t>ma bled</t>
  </si>
  <si>
    <t>Beaudin</t>
  </si>
  <si>
    <t>Beaurin</t>
  </si>
  <si>
    <t>Becquet</t>
  </si>
  <si>
    <t>Benedictin</t>
  </si>
  <si>
    <t>cloitre St Benoit</t>
  </si>
  <si>
    <t>Beclin</t>
  </si>
  <si>
    <t>Josephine Elisabeth</t>
  </si>
  <si>
    <t>Tournelle 3</t>
  </si>
  <si>
    <t>Ma Gillot</t>
  </si>
  <si>
    <t>Bec</t>
  </si>
  <si>
    <t>Bel</t>
  </si>
  <si>
    <t>Bei</t>
  </si>
  <si>
    <t>Ben</t>
  </si>
  <si>
    <t>Catherine Francoises</t>
  </si>
  <si>
    <t>Enfer</t>
  </si>
  <si>
    <t>ve latombelle</t>
  </si>
  <si>
    <t>28-7-1817</t>
  </si>
  <si>
    <t>23-5-1817</t>
  </si>
  <si>
    <t>Benard</t>
  </si>
  <si>
    <t>Augustin Charles</t>
  </si>
  <si>
    <t>Beaumont sur oise</t>
  </si>
  <si>
    <t>Beraud</t>
  </si>
  <si>
    <t>X Gainier</t>
  </si>
  <si>
    <t>Sada</t>
  </si>
  <si>
    <t>21-11-1817</t>
  </si>
  <si>
    <t>Ber</t>
  </si>
  <si>
    <t>Magdelaine Louise</t>
  </si>
  <si>
    <t xml:space="preserve">Vaugirard </t>
  </si>
  <si>
    <t>6-6-1818</t>
  </si>
  <si>
    <t>Bers</t>
  </si>
  <si>
    <t>Bert</t>
  </si>
  <si>
    <t>Noyers</t>
  </si>
  <si>
    <t>bert</t>
  </si>
  <si>
    <t>Macon</t>
  </si>
  <si>
    <t>Choisy</t>
  </si>
  <si>
    <t>Berthole</t>
  </si>
  <si>
    <t>edme</t>
  </si>
  <si>
    <t>Entrep de Couvertures</t>
  </si>
  <si>
    <t>Nd Champls</t>
  </si>
  <si>
    <t>ma Letierce Mie Madelaine</t>
  </si>
  <si>
    <t>BIG0T</t>
  </si>
  <si>
    <t>HENRy</t>
  </si>
  <si>
    <t>THIERY</t>
  </si>
  <si>
    <t>marie Nicole</t>
  </si>
  <si>
    <t>marie Marguerite</t>
  </si>
  <si>
    <t>marie Francois Albert</t>
  </si>
  <si>
    <t>marie Catherine</t>
  </si>
  <si>
    <t>marie Angelique</t>
  </si>
  <si>
    <t>Marie Geneviève pierrette</t>
  </si>
  <si>
    <t>Marie Anne Felicite</t>
  </si>
  <si>
    <t>JeaN BTE</t>
  </si>
  <si>
    <t>JeaN ANDRE</t>
  </si>
  <si>
    <t>Marie GENEVIEVE</t>
  </si>
  <si>
    <t>Marie FRANCOISE ROSALIE</t>
  </si>
  <si>
    <t>Henri Benoit Jules</t>
  </si>
  <si>
    <t>Henri joseph</t>
  </si>
  <si>
    <t>genevieve</t>
  </si>
  <si>
    <t>Claude Francois</t>
  </si>
  <si>
    <t>Catherine Eugenie</t>
  </si>
  <si>
    <t>Antoine Alexis Julien</t>
  </si>
  <si>
    <t>ep. Tresse</t>
  </si>
  <si>
    <t>ep. Rimbert, Philippe Zacharie, ?picier</t>
  </si>
  <si>
    <t>ep. Mionnet, Marie Anne</t>
  </si>
  <si>
    <t>ep. Lejay, Ang?lique, Euphrasie</t>
  </si>
  <si>
    <t>ep. Faude (zz), Juste</t>
  </si>
  <si>
    <t>ep. Debourge, Aug</t>
  </si>
  <si>
    <t>ep. David, Judith</t>
  </si>
  <si>
    <t>ep. Brinquant, V</t>
  </si>
  <si>
    <t>ep. BECQUEREL marie Anne</t>
  </si>
  <si>
    <t>ep, Terrier, Marianne</t>
  </si>
  <si>
    <t>ep, Martin, Augustine Jos?phine</t>
  </si>
  <si>
    <t>ep, LABRUNNE, Louis Fran?ois, ex, employ?</t>
  </si>
  <si>
    <t>ep, d'Ocagne</t>
  </si>
  <si>
    <t>ep, Brios, Antoine Marie, avocat</t>
  </si>
  <si>
    <t>ep, BRILLOUETTE, Th?r?se Genevi?ve</t>
  </si>
  <si>
    <t>Pierre Etienne Deschamps</t>
  </si>
  <si>
    <t>ép. THENAILLE, Marie Louise</t>
  </si>
  <si>
    <t>r des Petits Pilliers d'Etain, 38 (4°)</t>
  </si>
  <si>
    <t>sa femme donataire+sa fille</t>
  </si>
  <si>
    <t>13-8-1817</t>
  </si>
  <si>
    <t>m r…</t>
  </si>
  <si>
    <t>Cordier</t>
  </si>
  <si>
    <t>vf Marie Rose Henriette MANIEZ (morte le 3-7-1816)</t>
  </si>
  <si>
    <t>Louis Joseph</t>
  </si>
  <si>
    <t>peintre en bâtiment</t>
  </si>
  <si>
    <t>r d'Avignon, 8 (6°)</t>
  </si>
  <si>
    <t>son fils peintre en bâtiment (Louis François Joseph), r du Temple, 57</t>
  </si>
  <si>
    <t>Courtier</t>
  </si>
  <si>
    <t>Hacot jacques andre nicolas</t>
  </si>
  <si>
    <t>st honore 349</t>
  </si>
  <si>
    <t>4-8-1827</t>
  </si>
  <si>
    <t>M st denis 147 et 172 et 22</t>
  </si>
  <si>
    <t>COUS</t>
  </si>
  <si>
    <t>CRA</t>
  </si>
  <si>
    <t>Cresson</t>
  </si>
  <si>
    <t>vf madelaine henry + 15-8-1815</t>
  </si>
  <si>
    <t>Louis etiene</t>
  </si>
  <si>
    <t>clery 102</t>
  </si>
  <si>
    <t>enf min sous tutle lambier de st croix</t>
  </si>
  <si>
    <t>M clery 50 et 102</t>
  </si>
  <si>
    <t>Croizette</t>
  </si>
  <si>
    <t>ép. LERRAY (Leray…)</t>
  </si>
  <si>
    <t>Antoinette Augustine</t>
  </si>
  <si>
    <t>r du Colombier, 9</t>
  </si>
  <si>
    <t>Augustin Etienne Merry Leray (ou mari ou fils…)</t>
  </si>
  <si>
    <t>2-12-1817</t>
  </si>
  <si>
    <t>m r St Martin, 77</t>
  </si>
  <si>
    <t>demonsigny</t>
  </si>
  <si>
    <t>24/03/1817</t>
  </si>
  <si>
    <t>deSBOIS</t>
  </si>
  <si>
    <t>31/3/1817</t>
  </si>
  <si>
    <t>Daube</t>
  </si>
  <si>
    <t>ep loy marie cath</t>
  </si>
  <si>
    <t>temple 48</t>
  </si>
  <si>
    <t>fe don filles 2</t>
  </si>
  <si>
    <t>David</t>
  </si>
  <si>
    <t>we chaulain</t>
  </si>
  <si>
    <t>st denis 44</t>
  </si>
  <si>
    <t>fils min</t>
  </si>
  <si>
    <t>24-10-1817</t>
  </si>
  <si>
    <t>Daval</t>
  </si>
  <si>
    <t>ep delavarade theodore Paulin</t>
  </si>
  <si>
    <t>Henriette josephine</t>
  </si>
  <si>
    <t>aumaire 26</t>
  </si>
  <si>
    <t>enf 5 min 3 maj</t>
  </si>
  <si>
    <t>20-6-1818</t>
  </si>
  <si>
    <t>m AUMAIRE ET Nve st alaurent Et des vaszzz</t>
  </si>
  <si>
    <t>st honore</t>
  </si>
  <si>
    <t>m st martin</t>
  </si>
  <si>
    <t>Debeaufort</t>
  </si>
  <si>
    <t>we Charles Louis de Barentin Mqs de Montchal</t>
  </si>
  <si>
    <t>Bondy 1</t>
  </si>
  <si>
    <t>11-4-1818</t>
  </si>
  <si>
    <t>Decq</t>
  </si>
  <si>
    <t>EP Paigne reine Fre</t>
  </si>
  <si>
    <t>louis Charles</t>
  </si>
  <si>
    <t>petit careaux 43</t>
  </si>
  <si>
    <t>16-1-1818</t>
  </si>
  <si>
    <t>Poissoniere 8</t>
  </si>
  <si>
    <t>Dehais</t>
  </si>
  <si>
    <t>ep supersac agather aimee</t>
  </si>
  <si>
    <t>M ponceau et Ste appoline</t>
  </si>
  <si>
    <t>Delacroix</t>
  </si>
  <si>
    <t>Nve st martin</t>
  </si>
  <si>
    <t>2 filles et p enfs</t>
  </si>
  <si>
    <t>M nve st martin vert bois jean robert et cimetiere</t>
  </si>
  <si>
    <t>DELAM</t>
  </si>
  <si>
    <t>Delamarre</t>
  </si>
  <si>
    <t>ep milard Marie Sophie bijoutiere</t>
  </si>
  <si>
    <t>J-B Hubert</t>
  </si>
  <si>
    <t>bijoutier</t>
  </si>
  <si>
    <t>Fontaines 15</t>
  </si>
  <si>
    <t>collat et autre</t>
  </si>
  <si>
    <t>3-4-1818</t>
  </si>
  <si>
    <t>enfs et ve</t>
  </si>
  <si>
    <t>Folie Mericout 26</t>
  </si>
  <si>
    <t>Delmont</t>
  </si>
  <si>
    <t>Larocher jeanne M</t>
  </si>
  <si>
    <t>St dominque 38</t>
  </si>
  <si>
    <t>31-7-1817</t>
  </si>
  <si>
    <t>Marechal</t>
  </si>
  <si>
    <t>NB : tjs pas d'inventaire en 1822, son fils demeure à Modène, mais à cette datye sa belle sœur reçoit les 30000 ici mentionnés</t>
  </si>
  <si>
    <t>Docagine Duplesis</t>
  </si>
  <si>
    <t>X orfevre</t>
  </si>
  <si>
    <t>Montmorency 43</t>
  </si>
  <si>
    <t>Vf Dupin Lucille Agate</t>
  </si>
  <si>
    <t>Dozillac</t>
  </si>
  <si>
    <t>Charlotte emilie francoise rosalie</t>
  </si>
  <si>
    <t>Jarente 6</t>
  </si>
  <si>
    <t>Fe Albouy Vicomte d'</t>
  </si>
  <si>
    <t>Mari 1/6 et enfants 5</t>
  </si>
  <si>
    <t>Douron</t>
  </si>
  <si>
    <t>Francoise auda</t>
  </si>
  <si>
    <t>Mesnilmontnat 114</t>
  </si>
  <si>
    <t>Ve Toulouse J-B</t>
  </si>
  <si>
    <t>Menilmontant 114</t>
  </si>
  <si>
    <t>Doulcet</t>
  </si>
  <si>
    <t>Marie etiennette</t>
  </si>
  <si>
    <t>Culture st catherine 48</t>
  </si>
  <si>
    <t>Deuil</t>
  </si>
  <si>
    <t>Ve J- cha delogne</t>
  </si>
  <si>
    <t>herit fe de not hon</t>
  </si>
  <si>
    <t>Chareton 167</t>
  </si>
  <si>
    <t>Jean Gervais Protai</t>
  </si>
  <si>
    <t>St Croix Bretonnerie 39</t>
  </si>
  <si>
    <t>Vf Thulier Pelagie</t>
  </si>
  <si>
    <t>1/2 M st croix bretonerie 39, et 13 et 1/2 Tixandrerie x</t>
  </si>
  <si>
    <t xml:space="preserve">DRI </t>
  </si>
  <si>
    <t>Cure</t>
  </si>
  <si>
    <t>St bernard 26</t>
  </si>
  <si>
    <t>Minimes 1</t>
  </si>
  <si>
    <t>29-12-1819</t>
  </si>
  <si>
    <t>Dufour</t>
  </si>
  <si>
    <t>Etudiant</t>
  </si>
  <si>
    <t>D'aval 22</t>
  </si>
  <si>
    <t>Mere et soeurs</t>
  </si>
  <si>
    <t>18-3-1818</t>
  </si>
  <si>
    <t>M en chantier Charenton 167</t>
  </si>
  <si>
    <t>Dumanoir</t>
  </si>
  <si>
    <t>Julienne Virginie</t>
  </si>
  <si>
    <t>Bercy 30</t>
  </si>
  <si>
    <t>24-3-1820</t>
  </si>
  <si>
    <t>1/p de 5/8 Bercy 30</t>
  </si>
  <si>
    <t>Angelique marie</t>
  </si>
  <si>
    <t>en nouricce</t>
  </si>
  <si>
    <t>Mere et frere</t>
  </si>
  <si>
    <t>Marie Emilie</t>
  </si>
  <si>
    <t>St martin 112</t>
  </si>
  <si>
    <t>Courlat Nicolas edme</t>
  </si>
  <si>
    <t>Facque</t>
  </si>
  <si>
    <t>Elizabeth francoise</t>
  </si>
  <si>
    <t>Blanchisseuse</t>
  </si>
  <si>
    <t>Bercy 51</t>
  </si>
  <si>
    <t>Millot Louis</t>
  </si>
  <si>
    <t>8-8-1818</t>
  </si>
  <si>
    <t>Fauconnier</t>
  </si>
  <si>
    <t>Echarpe 2</t>
  </si>
  <si>
    <t>Bazin Charlotte fr</t>
  </si>
  <si>
    <t>Cousins 2 et enfants 5</t>
  </si>
  <si>
    <t>1/2 M Homme arme 2</t>
  </si>
  <si>
    <t>Leon</t>
  </si>
  <si>
    <t>Perle 28</t>
  </si>
  <si>
    <t>Fromancoeur Marie Madelaine</t>
  </si>
  <si>
    <t>23-6-1817</t>
  </si>
  <si>
    <t>1/2 M Bercy 4</t>
  </si>
  <si>
    <t>Gilot Marie Genevieve louise</t>
  </si>
  <si>
    <t>trois enf min ve don</t>
  </si>
  <si>
    <t>Leyon St Paul</t>
  </si>
  <si>
    <t>Fevret</t>
  </si>
  <si>
    <t>Ave de Triomphe 3</t>
  </si>
  <si>
    <t>Lavigne Charles Louis joseph</t>
  </si>
  <si>
    <t>7-1-1818</t>
  </si>
  <si>
    <t xml:space="preserve">GAB </t>
  </si>
  <si>
    <t>Ambroise Serapjhin</t>
  </si>
  <si>
    <t>Bailleul 16</t>
  </si>
  <si>
    <t>Frere</t>
  </si>
  <si>
    <t>9-12-1819</t>
  </si>
  <si>
    <t>Poitou 28</t>
  </si>
  <si>
    <t>Gallez</t>
  </si>
  <si>
    <t>Rene Marguerite</t>
  </si>
  <si>
    <t>verrerie 17</t>
  </si>
  <si>
    <t>barrois Jean Francois Hupolite agr trib com</t>
  </si>
  <si>
    <t>17-7-1818</t>
  </si>
  <si>
    <t>Nicolas Pierre</t>
  </si>
  <si>
    <t>Militaire</t>
  </si>
  <si>
    <t>Fb St antoine 211</t>
  </si>
  <si>
    <t>12-8-1818</t>
  </si>
  <si>
    <t>Mt boulanger</t>
  </si>
  <si>
    <t>Arcis 35</t>
  </si>
  <si>
    <t>Concalon marie cathj</t>
  </si>
  <si>
    <t>1/2 St Jean de l'epee</t>
  </si>
  <si>
    <t>GARB</t>
  </si>
  <si>
    <t>Gassebois</t>
  </si>
  <si>
    <t>Marie Genevieve Henriette</t>
  </si>
  <si>
    <t>Q gesvres 8</t>
  </si>
  <si>
    <t>Q gesvre 8</t>
  </si>
  <si>
    <t>Gaudissart</t>
  </si>
  <si>
    <t>Charonne 56</t>
  </si>
  <si>
    <t>31-3-1817</t>
  </si>
  <si>
    <t>GEV</t>
  </si>
  <si>
    <t>Girardeau</t>
  </si>
  <si>
    <t>Joseph Hector</t>
  </si>
  <si>
    <t>étudiant</t>
  </si>
  <si>
    <t>r St Antoine, 43</t>
  </si>
  <si>
    <t>son père+frères et sœurs</t>
  </si>
  <si>
    <t>Rosiers 20</t>
  </si>
  <si>
    <t>Milbray 20</t>
  </si>
  <si>
    <t>Genevieve perpetue</t>
  </si>
  <si>
    <t>St antoine 121</t>
  </si>
  <si>
    <t>Herbel jean</t>
  </si>
  <si>
    <t>Gresse</t>
  </si>
  <si>
    <t>Anne Madelaine Michele adelaide</t>
  </si>
  <si>
    <t>Puis 6</t>
  </si>
  <si>
    <t>Barbe Augustin x neg</t>
  </si>
  <si>
    <t xml:space="preserve">GUEN </t>
  </si>
  <si>
    <t>Guinand</t>
  </si>
  <si>
    <t>Jacques pierre</t>
  </si>
  <si>
    <t>Md Fondeur</t>
  </si>
  <si>
    <t>Arcis 29</t>
  </si>
  <si>
    <t>Petit catherien genevieve (2eme fe)</t>
  </si>
  <si>
    <t>fils 1et mariage</t>
  </si>
  <si>
    <t>11-12-1817</t>
  </si>
  <si>
    <t>Villetier 9</t>
  </si>
  <si>
    <t>GUENIN</t>
  </si>
  <si>
    <t>PL DU MARCHE DES INNICZNTQ 20</t>
  </si>
  <si>
    <t>18.11.1817</t>
  </si>
  <si>
    <t>R DE MONTMORENTCY 25</t>
  </si>
  <si>
    <t>Hérard</t>
  </si>
  <si>
    <t>Neuilly sur Marne</t>
  </si>
  <si>
    <t>ve Larose</t>
  </si>
  <si>
    <t>fille naturelle de son fils décédé</t>
  </si>
  <si>
    <t>1/2 m r des Blancs Manteaux, 33</t>
  </si>
  <si>
    <t>HAUBLET</t>
  </si>
  <si>
    <t>BIJOUTIERE</t>
  </si>
  <si>
    <t>R DU T..116</t>
  </si>
  <si>
    <t>28.3.1818</t>
  </si>
  <si>
    <t>Jeannel</t>
  </si>
  <si>
    <t>Edme Charles</t>
  </si>
  <si>
    <t>x proc  chatellet</t>
  </si>
  <si>
    <t>Vielle du temple 31</t>
  </si>
  <si>
    <t>Leclerc de Clairefontaine anne</t>
  </si>
  <si>
    <t>ve et fils 1</t>
  </si>
  <si>
    <t>16-11-1817</t>
  </si>
  <si>
    <t>Janson</t>
  </si>
  <si>
    <t>Chaussee des minimes 9</t>
  </si>
  <si>
    <t>Marie Marguerite Besancon</t>
  </si>
  <si>
    <t>Chaussee des minimines 9 et 7</t>
  </si>
  <si>
    <t>jay</t>
  </si>
  <si>
    <t>Reuilly 12</t>
  </si>
  <si>
    <t>Cheville edme nourisseur de bestiaux</t>
  </si>
  <si>
    <t>fils mari 1/2 usu</t>
  </si>
  <si>
    <t>Reilly 12</t>
  </si>
  <si>
    <t xml:space="preserve">JEA </t>
  </si>
  <si>
    <t>Joly de Fleury</t>
  </si>
  <si>
    <t>Francoise Bonne Genevieve</t>
  </si>
  <si>
    <t>St honore 372</t>
  </si>
  <si>
    <t>ve Louis Marquis d'etampes</t>
  </si>
  <si>
    <t>St avoye 33</t>
  </si>
  <si>
    <t>JOV</t>
  </si>
  <si>
    <t>JUP</t>
  </si>
  <si>
    <t>LACHANT</t>
  </si>
  <si>
    <t>Marie antoinette adélaide</t>
  </si>
  <si>
    <t>r St Antoine, 137</t>
  </si>
  <si>
    <t>ép. GOUVION, Etienne, serrurier</t>
  </si>
  <si>
    <t>ses 3 enfants</t>
  </si>
  <si>
    <t>m r St Antoine, 137</t>
  </si>
  <si>
    <t>LACHENAIT</t>
  </si>
  <si>
    <t>Pierre Noel</t>
  </si>
  <si>
    <t>joaillier</t>
  </si>
  <si>
    <t>r Vieulle du Temple, 145</t>
  </si>
  <si>
    <t>ép. GABEAU, Marie Anne</t>
  </si>
  <si>
    <t>sa femme et sa fille</t>
  </si>
  <si>
    <t>Lardenois</t>
  </si>
  <si>
    <t>Vielle places au veaux 10</t>
  </si>
  <si>
    <t>Ve Profit Philippe</t>
  </si>
  <si>
    <t>Gendre</t>
  </si>
  <si>
    <t>31-12-1817</t>
  </si>
  <si>
    <t>1/2 m vielle plae au veaux</t>
  </si>
  <si>
    <t>Pont au choux 19</t>
  </si>
  <si>
    <t>Charonne 144</t>
  </si>
  <si>
    <t>St Bernard 35</t>
  </si>
  <si>
    <t>Leclerc de grandmaison</t>
  </si>
  <si>
    <t>Marie henriette</t>
  </si>
  <si>
    <t>bourg 16</t>
  </si>
  <si>
    <t>Ve Thome rene</t>
  </si>
  <si>
    <t>Oncle et autre thome</t>
  </si>
  <si>
    <t>M franc bourgeois 14 et Pl Royale 8</t>
  </si>
  <si>
    <t>pl St Antoine, 7</t>
  </si>
  <si>
    <t>vf de Gosse Marie Anne</t>
  </si>
  <si>
    <t>12 enf</t>
  </si>
  <si>
    <t>Angoulème</t>
  </si>
  <si>
    <t>21-11-1820</t>
  </si>
  <si>
    <t>1/2 m r de la couture St Gervais, 12</t>
  </si>
  <si>
    <t>Lepilleur</t>
  </si>
  <si>
    <t>Louis Placide</t>
  </si>
  <si>
    <t>Gd Chantier 14</t>
  </si>
  <si>
    <t>Deswicj</t>
  </si>
  <si>
    <t>enfants et soeur</t>
  </si>
  <si>
    <t>10-12-1817</t>
  </si>
  <si>
    <t>Chef d'institution</t>
  </si>
  <si>
    <t>Picpus 18</t>
  </si>
  <si>
    <t>Valis maxime</t>
  </si>
  <si>
    <t>Picpus 18 et 20</t>
  </si>
  <si>
    <t>Lucien</t>
  </si>
  <si>
    <t>st antoine 163</t>
  </si>
  <si>
    <t>Marie Jeanne Gautier</t>
  </si>
  <si>
    <t>her Lefevre et fils adoptif</t>
  </si>
  <si>
    <t>Leval</t>
  </si>
  <si>
    <t>md Boiseries</t>
  </si>
  <si>
    <t>Transnonain 16</t>
  </si>
  <si>
    <t>Vf Marie therese francoise Lemaire</t>
  </si>
  <si>
    <t>Leval fe LU</t>
  </si>
  <si>
    <t>phelipeau 25</t>
  </si>
  <si>
    <t>Levy</t>
  </si>
  <si>
    <t>rose</t>
  </si>
  <si>
    <t>Michel lecomte 14</t>
  </si>
  <si>
    <t>Abraham Lazare</t>
  </si>
  <si>
    <t>fils et frere</t>
  </si>
  <si>
    <t>25-3-1818</t>
  </si>
  <si>
    <t>LORY</t>
  </si>
  <si>
    <t>Adélaide Françoise</t>
  </si>
  <si>
    <t>r de Montmorency, 16</t>
  </si>
  <si>
    <t>son mari pr 1/4 en ppt et 1/4 en usu+sa fille ép d'un marchand à Nantes</t>
  </si>
  <si>
    <t>Lubin</t>
  </si>
  <si>
    <t>Euphrosine</t>
  </si>
  <si>
    <t>st pierre 8</t>
  </si>
  <si>
    <t>Ve 1ere noce Abnard et 2eme noce j-B esqueville e</t>
  </si>
  <si>
    <t>Enfants</t>
  </si>
  <si>
    <t>27-89-1817</t>
  </si>
  <si>
    <t>r de Jarente, 9</t>
  </si>
  <si>
    <t>ép, MOLHAR Jean Baptiste, serrurier</t>
  </si>
  <si>
    <t>son fils mineur (Jean Louis Molhar)</t>
  </si>
  <si>
    <t>1/2 mJarente 9</t>
  </si>
  <si>
    <t>MEI</t>
  </si>
  <si>
    <t>Merie</t>
  </si>
  <si>
    <t>jean Francois</t>
  </si>
  <si>
    <t>md poissons</t>
  </si>
  <si>
    <t>Marche st hon 3</t>
  </si>
  <si>
    <t>ve don</t>
  </si>
  <si>
    <t>Traversiere st antoine 46</t>
  </si>
  <si>
    <t xml:space="preserve">Martin </t>
  </si>
  <si>
    <t>Boulangere x</t>
  </si>
  <si>
    <t>Marche 11</t>
  </si>
  <si>
    <t>ve Menars jean thomas et Basilin jean abel louis</t>
  </si>
  <si>
    <t>Antoine Eugene</t>
  </si>
  <si>
    <t>Cloitre St merry 21</t>
  </si>
  <si>
    <t>soeur et pere</t>
  </si>
  <si>
    <t>3-3-1818</t>
  </si>
  <si>
    <t>Temple 3</t>
  </si>
  <si>
    <t>Mesnil</t>
  </si>
  <si>
    <t>r St Sébastien, 42</t>
  </si>
  <si>
    <t>ép, Chistel, Michel</t>
  </si>
  <si>
    <t>ses enfs</t>
  </si>
  <si>
    <t>1/2 m r St Sébastien, 42</t>
  </si>
  <si>
    <t>ancien caissier général de l'administration des postes</t>
  </si>
  <si>
    <t>r du fg Poissonnière, 1</t>
  </si>
  <si>
    <t>vf Caillot, Marie Madeleine</t>
  </si>
  <si>
    <t>3 fils</t>
  </si>
  <si>
    <t>m r de Berry au marais, 4</t>
  </si>
  <si>
    <t>MICOUT</t>
  </si>
  <si>
    <t>4 R ROYALE</t>
  </si>
  <si>
    <t>FILS+ NIECE ET PTS NEVEUX</t>
  </si>
  <si>
    <t>MICOUT D'AMONS</t>
  </si>
  <si>
    <t>CHARLES EMMANUEL</t>
  </si>
  <si>
    <t>PREFET</t>
  </si>
  <si>
    <t>FEMME+FILLE</t>
  </si>
  <si>
    <t>r du Chaume, 15</t>
  </si>
  <si>
    <t>ép. Terrier, Marie Anne</t>
  </si>
  <si>
    <t>1/2 (m r du Chaume, 15+m r du Cloitre St Merry, 22+r de l'Oratoire, 12+ibid, 22)</t>
  </si>
  <si>
    <t>MORDELLET</t>
  </si>
  <si>
    <t>2 R ST BERNARD</t>
  </si>
  <si>
    <t>Morot</t>
  </si>
  <si>
    <t>r Michel lecomte, 14</t>
  </si>
  <si>
    <t>27-10-1818</t>
  </si>
  <si>
    <t>1/2 m r Michel lecomte, 14</t>
  </si>
  <si>
    <t>MOU</t>
  </si>
  <si>
    <t>Moufle</t>
  </si>
  <si>
    <t>Jean François Léon</t>
  </si>
  <si>
    <t>r Molay, 4</t>
  </si>
  <si>
    <t>parent</t>
  </si>
  <si>
    <t>Nast</t>
  </si>
  <si>
    <t>Jean Nepusomene herman</t>
  </si>
  <si>
    <t>Fab Porcelaine</t>
  </si>
  <si>
    <t>Amandier 8</t>
  </si>
  <si>
    <t>Vf Marguerite edmee lecomte</t>
  </si>
  <si>
    <t>12-11-1817</t>
  </si>
  <si>
    <t>Naudin</t>
  </si>
  <si>
    <t>Juif 16</t>
  </si>
  <si>
    <t>Ve Bosquillon Edouard Francois Marie</t>
  </si>
  <si>
    <t>Pont aux choux</t>
  </si>
  <si>
    <t>Ve andrieux Jean Baptiste</t>
  </si>
  <si>
    <t>Pont aux choux 12</t>
  </si>
  <si>
    <t>Chemin vert 17</t>
  </si>
  <si>
    <t>Vf Marie Joseph Desmartin</t>
  </si>
  <si>
    <t>LuNP</t>
  </si>
  <si>
    <t>Singes et des Arcis</t>
  </si>
  <si>
    <t>OLI</t>
  </si>
  <si>
    <t>ORT</t>
  </si>
  <si>
    <t>OUS</t>
  </si>
  <si>
    <t>PANTIN</t>
  </si>
  <si>
    <t>Guillaume  Jacques Ange</t>
  </si>
  <si>
    <t>r de Bièvre, 32</t>
  </si>
  <si>
    <t>marié ou veuf,,,</t>
  </si>
  <si>
    <t>ses 2 enf dt un est avocat même adresse</t>
  </si>
  <si>
    <t>Petits champs st martin 17</t>
  </si>
  <si>
    <t>PAPILLON</t>
  </si>
  <si>
    <t>Louise Croix (sic)</t>
  </si>
  <si>
    <t>r Ste Avoie, 18</t>
  </si>
  <si>
    <t>ve BOURDON, xx Albéric</t>
  </si>
  <si>
    <t>sa nièce, même adresse</t>
  </si>
  <si>
    <t>1-11-1817</t>
  </si>
  <si>
    <t>m r de Limoges, 12</t>
  </si>
  <si>
    <t>PERROT</t>
  </si>
  <si>
    <t>JOSEPH HYPPOLITE</t>
  </si>
  <si>
    <t>95 R MONTMARTRE</t>
  </si>
  <si>
    <t>233 FB ST MARTIN</t>
  </si>
  <si>
    <t>Petit Leudeville</t>
  </si>
  <si>
    <t>Alexandre Theophile</t>
  </si>
  <si>
    <t>X conseille</t>
  </si>
  <si>
    <t>Quatre fils 4</t>
  </si>
  <si>
    <t>Vf Francoise Jourdain</t>
  </si>
  <si>
    <t>13-8-1818</t>
  </si>
  <si>
    <t>NA/ M OU V</t>
  </si>
  <si>
    <t>PIV</t>
  </si>
  <si>
    <t>Gilles Jean Francois</t>
  </si>
  <si>
    <t>Ave de triomphje 4</t>
  </si>
  <si>
    <t>Francoise baudin</t>
  </si>
  <si>
    <t>1/2 ave triomphe, 9 de chas et 170 fb st antoine</t>
  </si>
  <si>
    <t>Poitier</t>
  </si>
  <si>
    <t>Poitou 30</t>
  </si>
  <si>
    <t>Ve Fiart Francois</t>
  </si>
  <si>
    <t>18-11-1819</t>
  </si>
  <si>
    <t>Charenton 25</t>
  </si>
  <si>
    <t>Pommerat</t>
  </si>
  <si>
    <t>st antoine 70</t>
  </si>
  <si>
    <t>Ve Pommerat paul</t>
  </si>
  <si>
    <t>Poupinel</t>
  </si>
  <si>
    <t>Nicolas Christophe</t>
  </si>
  <si>
    <t>q gesvres 10</t>
  </si>
  <si>
    <t>Bienaime Marie Francoise Felicite</t>
  </si>
  <si>
    <t>enf min 4</t>
  </si>
  <si>
    <t>St Jean L'epee</t>
  </si>
  <si>
    <t>5/8 M Montmorency</t>
  </si>
  <si>
    <t>RACHON</t>
  </si>
  <si>
    <t>Adélaide Germaine</t>
  </si>
  <si>
    <t>r de Grenelle St Germain, 123</t>
  </si>
  <si>
    <t>ve GIBERT</t>
  </si>
  <si>
    <t>r Vieille du Temple, 133</t>
  </si>
  <si>
    <t>Renaudot</t>
  </si>
  <si>
    <t>jacques Joseph</t>
  </si>
  <si>
    <t>Pont aux choux 17</t>
  </si>
  <si>
    <t>Ledeu amelie josephe (philippeville)</t>
  </si>
  <si>
    <t>soeur 2</t>
  </si>
  <si>
    <t>20-3-1818</t>
  </si>
  <si>
    <t>RES</t>
  </si>
  <si>
    <t>St jean bon</t>
  </si>
  <si>
    <t>ROO</t>
  </si>
  <si>
    <t>Roville</t>
  </si>
  <si>
    <t>Edouard phillipe</t>
  </si>
  <si>
    <t>Bd St gilles 3</t>
  </si>
  <si>
    <t>Philippe Michel</t>
  </si>
  <si>
    <t>Huissier audience au trib com</t>
  </si>
  <si>
    <t>Bourtibourg 21</t>
  </si>
  <si>
    <t>Decomble marie francoise</t>
  </si>
  <si>
    <t>fe LU</t>
  </si>
  <si>
    <t>Mob sur etat</t>
  </si>
  <si>
    <t>Saunier</t>
  </si>
  <si>
    <t>Nicolas pierre</t>
  </si>
  <si>
    <t>Limoges 4</t>
  </si>
  <si>
    <t>Vf Marie Louise Marcus</t>
  </si>
  <si>
    <t>Tallegrand 2</t>
  </si>
  <si>
    <t>15-4-1817</t>
  </si>
  <si>
    <t>St catherine 14</t>
  </si>
  <si>
    <t>Bernard, marie angelique</t>
  </si>
  <si>
    <t>MOITIE DE 5M AU 6, 8, 10, 12 ET 15 RUE VIEILLE STE CATHERINE</t>
  </si>
  <si>
    <t>SERAINE</t>
  </si>
  <si>
    <t>54 R ST LOUIS</t>
  </si>
  <si>
    <t>2/7/1817</t>
  </si>
  <si>
    <t>Bercy 35</t>
  </si>
  <si>
    <t>Tacque</t>
  </si>
  <si>
    <t>Aime Catherine</t>
  </si>
  <si>
    <t>Place Royale 2</t>
  </si>
  <si>
    <t>Ve desprez, pierre</t>
  </si>
  <si>
    <t>Fille et colat</t>
  </si>
  <si>
    <t>13-11-1817</t>
  </si>
  <si>
    <t>Tardif</t>
  </si>
  <si>
    <t>Mouton 5</t>
  </si>
  <si>
    <t>Marie Sophie Josephe Guuot</t>
  </si>
  <si>
    <t>6-9-1817</t>
  </si>
  <si>
    <t>Thibaud</t>
  </si>
  <si>
    <t>Eugente</t>
  </si>
  <si>
    <t>Conseille</t>
  </si>
  <si>
    <t>St avoie</t>
  </si>
  <si>
    <t>Suzanne Edene</t>
  </si>
  <si>
    <t>1/2 Michel lecompte</t>
  </si>
  <si>
    <t>Cult st catherine</t>
  </si>
  <si>
    <t>Tronson</t>
  </si>
  <si>
    <t>St merry 14</t>
  </si>
  <si>
    <t>Bason, alexandrine marie anne</t>
  </si>
  <si>
    <t>2 HER</t>
  </si>
  <si>
    <t>22/8/1817</t>
  </si>
  <si>
    <t>TIS</t>
  </si>
  <si>
    <t>Travers</t>
  </si>
  <si>
    <t>feydeau 11</t>
  </si>
  <si>
    <t>Margerite Louise Phelipeu</t>
  </si>
  <si>
    <t>17-1-1817</t>
  </si>
  <si>
    <t>Berthout 48</t>
  </si>
  <si>
    <t>Vaconet</t>
  </si>
  <si>
    <t>St Nicolas 2</t>
  </si>
  <si>
    <t>Menu Louis Gilbert</t>
  </si>
  <si>
    <t>20-11-1817</t>
  </si>
  <si>
    <t>1/2 M St nicolas</t>
  </si>
  <si>
    <t>Mde Vin</t>
  </si>
  <si>
    <t>Div de Chevet et de Passez, Leregent</t>
  </si>
  <si>
    <t>9-12-1817</t>
  </si>
  <si>
    <t>1/2 M et ter Popincourt 41</t>
  </si>
  <si>
    <t>Walliet</t>
  </si>
  <si>
    <t>Cour du Harlay 21</t>
  </si>
  <si>
    <t>Franguelot de Coigny</t>
  </si>
  <si>
    <t>Augustin Gabriel</t>
  </si>
  <si>
    <t>Lieut gal des armees du roi</t>
  </si>
  <si>
    <t>fb st honore 90</t>
  </si>
  <si>
    <t>Vf Anne Josephe Michelle de Roissy</t>
  </si>
  <si>
    <t>Fille unique Morte 18-1-1820</t>
  </si>
  <si>
    <t>19-1-1817</t>
  </si>
  <si>
    <t>FRENOIS</t>
  </si>
  <si>
    <t>Marie Anne Sophie</t>
  </si>
  <si>
    <t>r St Honoré, 387 (1° arr)</t>
  </si>
  <si>
    <t>ép. LIEBERT, Augustin md bonnetier</t>
  </si>
  <si>
    <t>son mari donataire en usu+ son frère épicier en nue ppté</t>
  </si>
  <si>
    <t>Frenoir</t>
  </si>
  <si>
    <t>Quai des celstins</t>
  </si>
  <si>
    <t>Miornet Marie Anne</t>
  </si>
  <si>
    <t>m Miromesnil 9-11</t>
  </si>
  <si>
    <t>Fulchiron</t>
  </si>
  <si>
    <t>Aime Gabriel</t>
  </si>
  <si>
    <t>X banquier</t>
  </si>
  <si>
    <t>Gramont 17</t>
  </si>
  <si>
    <t>Anne Honoree Julie Maron de Maubuisson</t>
  </si>
  <si>
    <t>ve 1/2 uysu et Neveu p</t>
  </si>
  <si>
    <t>7-6-1817</t>
  </si>
  <si>
    <t xml:space="preserve">GALL </t>
  </si>
  <si>
    <t>Gallet</t>
  </si>
  <si>
    <t>Edme Antoine</t>
  </si>
  <si>
    <t>Coubevoie</t>
  </si>
  <si>
    <t>Delaporte Marie anne marguerite</t>
  </si>
  <si>
    <t>ve et 2 enf</t>
  </si>
  <si>
    <t>Galois</t>
  </si>
  <si>
    <t>Lectrice de SM</t>
  </si>
  <si>
    <t>Taitbout 20</t>
  </si>
  <si>
    <t>Gourbillon Charles Florent Mort 27-12-1818</t>
  </si>
  <si>
    <t>fils 1 et 2 petits enfants</t>
  </si>
  <si>
    <t>Garneron</t>
  </si>
  <si>
    <t>Rose elise</t>
  </si>
  <si>
    <t>Echiquier 4</t>
  </si>
  <si>
    <t>mere 1/4 frere 3/4</t>
  </si>
  <si>
    <t>Rue Bergere 26</t>
  </si>
  <si>
    <t>GRAC</t>
  </si>
  <si>
    <t>Garnier Deschenes</t>
  </si>
  <si>
    <t>ANCIEN admin des Dom</t>
  </si>
  <si>
    <t>Nve des petits champs 10</t>
  </si>
  <si>
    <t>Fuzillier Marie Catherine Charlotte</t>
  </si>
  <si>
    <t>Quincy sous senart</t>
  </si>
  <si>
    <t>18-2-18</t>
  </si>
  <si>
    <t>GAUB</t>
  </si>
  <si>
    <t xml:space="preserve">GAUD </t>
  </si>
  <si>
    <t>Gaudissard</t>
  </si>
  <si>
    <t>Andre Germain</t>
  </si>
  <si>
    <t>Mernars 9</t>
  </si>
  <si>
    <t>Marie Opportune Augustine Cornette</t>
  </si>
  <si>
    <t>ve 1/2 usu fils 1 p</t>
  </si>
  <si>
    <t>Meanrs 9</t>
  </si>
  <si>
    <t>17-5-1820</t>
  </si>
  <si>
    <t>GAUS</t>
  </si>
  <si>
    <t>GIH</t>
  </si>
  <si>
    <t>Adelaide Claudine</t>
  </si>
  <si>
    <t>Saussayes 11</t>
  </si>
  <si>
    <t>Ve Jabinneau Ch lo</t>
  </si>
  <si>
    <t>enfs et petits enf</t>
  </si>
  <si>
    <t>Pierre Alphonse</t>
  </si>
  <si>
    <t>Charpentier</t>
  </si>
  <si>
    <t>Fb St martin 43</t>
  </si>
  <si>
    <t>Mere 1/4 soeurs 3.4</t>
  </si>
  <si>
    <t>Caroline</t>
  </si>
  <si>
    <t xml:space="preserve">NA </t>
  </si>
  <si>
    <t>HUG</t>
  </si>
  <si>
    <t>Palis</t>
  </si>
  <si>
    <t>x entrep bat</t>
  </si>
  <si>
    <t>Harpe 52</t>
  </si>
  <si>
    <t>vf felicite Pillied</t>
  </si>
  <si>
    <t>19-2-1818</t>
  </si>
  <si>
    <t>PAN</t>
  </si>
  <si>
    <t>PARA</t>
  </si>
  <si>
    <t>PARI</t>
  </si>
  <si>
    <t>PAT</t>
  </si>
  <si>
    <t>PAV</t>
  </si>
  <si>
    <t>PAY</t>
  </si>
  <si>
    <t>PEC</t>
  </si>
  <si>
    <t>PETI</t>
  </si>
  <si>
    <t>PETR</t>
  </si>
  <si>
    <t>PEY</t>
  </si>
  <si>
    <t>PEZ</t>
  </si>
  <si>
    <t>PHI</t>
  </si>
  <si>
    <t>PIC</t>
  </si>
  <si>
    <t>PIE</t>
  </si>
  <si>
    <t>PIG</t>
  </si>
  <si>
    <t>PEL</t>
  </si>
  <si>
    <t>PEN</t>
  </si>
  <si>
    <t>PERI</t>
  </si>
  <si>
    <t>PERL</t>
  </si>
  <si>
    <t>PERO</t>
  </si>
  <si>
    <t>PERR</t>
  </si>
  <si>
    <t>PES</t>
  </si>
  <si>
    <t>PIL</t>
  </si>
  <si>
    <t>PIN</t>
  </si>
  <si>
    <t>Provins</t>
  </si>
  <si>
    <t>Ecole de Medecine</t>
  </si>
  <si>
    <t>Geoffroy</t>
  </si>
  <si>
    <t>ep. Bonne Victoire Vincent ?</t>
  </si>
  <si>
    <t>Poirot Alexandrine Victoire ep Gendre, r Descartes, 8</t>
  </si>
  <si>
    <t>10-09-1817</t>
  </si>
  <si>
    <t>1/2m r des Anglais, 18</t>
  </si>
  <si>
    <t>Jean Désiré</t>
  </si>
  <si>
    <t>r de la Gde Truanderie, 28</t>
  </si>
  <si>
    <t>mère= Lecoq Marie Anne, ep Poisson, remariée Chappotrau</t>
  </si>
  <si>
    <t>Scellier</t>
  </si>
  <si>
    <t>Jean Benjamin</t>
  </si>
  <si>
    <t>aux établissements de la côte occid d'afrique</t>
  </si>
  <si>
    <t>son père François Joseph Scellier</t>
  </si>
  <si>
    <t>12-03-1818</t>
  </si>
  <si>
    <t>Toffier</t>
  </si>
  <si>
    <t>r du Fg St Martin,  111</t>
  </si>
  <si>
    <t>NOTE</t>
  </si>
  <si>
    <t>ARO</t>
  </si>
  <si>
    <t>François Vincent</t>
  </si>
  <si>
    <t>r de la tonnellerie, 25</t>
  </si>
  <si>
    <t>père+mère+frères</t>
  </si>
  <si>
    <t>20.10.1817</t>
  </si>
  <si>
    <t>1/2 m r de la Calvadzzz, 46 et 48</t>
  </si>
  <si>
    <t>1/2 cour de Bemarbifer NA</t>
  </si>
  <si>
    <t>BEI</t>
  </si>
  <si>
    <t>NA/VF OU M</t>
  </si>
  <si>
    <t>BERG</t>
  </si>
  <si>
    <t>Bernage</t>
  </si>
  <si>
    <t>J Louis Pierre Jules</t>
  </si>
  <si>
    <t>Conflans Ste Honorine</t>
  </si>
  <si>
    <t>gd'mère+père</t>
  </si>
  <si>
    <t>22-1-1818</t>
  </si>
  <si>
    <t>Fb Poissoniere 8 et Port Mahon 8</t>
  </si>
  <si>
    <t>r Mazarine, 48</t>
  </si>
  <si>
    <t>ép. Courtois</t>
  </si>
  <si>
    <t>Boyvin</t>
  </si>
  <si>
    <t>Marie Geneviève</t>
  </si>
  <si>
    <t>St Germain en Laye, r de Fontain, 24</t>
  </si>
  <si>
    <t>ép. Richard, Robert-Jean</t>
  </si>
  <si>
    <t>16-5-1818</t>
  </si>
  <si>
    <t>R VIEILLE DRAPERIE 9</t>
  </si>
  <si>
    <t>Briffault de la Charpraie</t>
  </si>
  <si>
    <t>Adrien Jacques François</t>
  </si>
  <si>
    <t>r St Dominique, 25</t>
  </si>
  <si>
    <t>ép MacDonald (zz)</t>
  </si>
  <si>
    <t>20-12-1817</t>
  </si>
  <si>
    <t>22-4-1819</t>
  </si>
  <si>
    <t>BUF</t>
  </si>
  <si>
    <t>Cadot</t>
  </si>
  <si>
    <t>ancien magistrat</t>
  </si>
  <si>
    <t>Cartrelle (zz) arron de Melun 77</t>
  </si>
  <si>
    <t>ve+ve Grandjean+légataires étrangers</t>
  </si>
  <si>
    <t>CAL</t>
  </si>
  <si>
    <t>BAT ET jardin des SaiLLASSON, 6 bis</t>
  </si>
  <si>
    <t>CHAL</t>
  </si>
  <si>
    <t>CHEM</t>
  </si>
  <si>
    <t>CHEU</t>
  </si>
  <si>
    <t>R ST ANTOINE PASS ST PIERRE 1ER</t>
  </si>
  <si>
    <t>COGHLAN</t>
  </si>
  <si>
    <t>ELIZA</t>
  </si>
  <si>
    <t>pair de France</t>
  </si>
  <si>
    <t>VARENNE 22</t>
  </si>
  <si>
    <t>6.8.1818</t>
  </si>
  <si>
    <t>COP</t>
  </si>
  <si>
    <t xml:space="preserve">COUR </t>
  </si>
  <si>
    <t>1/3 m r des Colombes, 17</t>
  </si>
  <si>
    <t>Courtin de Torlay de la Malpougère</t>
  </si>
  <si>
    <t>Marie Gabrielle</t>
  </si>
  <si>
    <t>La Ferté Bernard</t>
  </si>
  <si>
    <t>son neveu</t>
  </si>
  <si>
    <t>17-3-1818</t>
  </si>
  <si>
    <t>1/6 r de Monceau St Gervais, 11</t>
  </si>
  <si>
    <t>r du four de la Croix Rouge, 79</t>
  </si>
  <si>
    <t>CUL</t>
  </si>
  <si>
    <t>ST QUENTIN</t>
  </si>
  <si>
    <t>D'appellevoisin de la roche du maine</t>
  </si>
  <si>
    <t>Aglae Louis Charlotte</t>
  </si>
  <si>
    <t>Bourgogne 36</t>
  </si>
  <si>
    <t>Verneuil</t>
  </si>
  <si>
    <t>Comte de Bort?</t>
  </si>
  <si>
    <t>10-2-1818</t>
  </si>
  <si>
    <t>petite m r Cocatrip, 8, quartier de la Cité</t>
  </si>
  <si>
    <t>DAT</t>
  </si>
  <si>
    <t>Dauchy</t>
  </si>
  <si>
    <t>Marie Louise Pierette Jacqueline</t>
  </si>
  <si>
    <t>Morcours (zz) 78</t>
  </si>
  <si>
    <t>divorcée e Degeisigner (zz)</t>
  </si>
  <si>
    <t>20-2-1818</t>
  </si>
  <si>
    <t>m r des vieilles tuileries, 6</t>
  </si>
  <si>
    <t>Dangy (Daugy)</t>
  </si>
  <si>
    <t>r de Varennes, 33</t>
  </si>
  <si>
    <t>cousins et cousines</t>
  </si>
  <si>
    <t>2-3-1818</t>
  </si>
  <si>
    <t>de La Croix, comte de Castries</t>
  </si>
  <si>
    <t>Jean François Henry Anne Louis</t>
  </si>
  <si>
    <t>maréchal de camp</t>
  </si>
  <si>
    <t>r des ST Pères, 54</t>
  </si>
  <si>
    <t>ép. Baron, Adélaide Marie</t>
  </si>
  <si>
    <t>13-3-1818</t>
  </si>
  <si>
    <t xml:space="preserve">DEC </t>
  </si>
  <si>
    <t>r St Paul, 4</t>
  </si>
  <si>
    <t>ép. Videy, Louise Claude</t>
  </si>
  <si>
    <t>ve+légataires</t>
  </si>
  <si>
    <t>12-10-1818</t>
  </si>
  <si>
    <t>hôtel r St Paul, 4+petite m r des Ursins, 3 et 5</t>
  </si>
  <si>
    <t>r de Vevre, 54</t>
  </si>
  <si>
    <t>ép. Baron, Adélaide M</t>
  </si>
  <si>
    <t>DELAH</t>
  </si>
  <si>
    <t>DELAN</t>
  </si>
  <si>
    <t>1/3 m quai des Ormes, 15</t>
  </si>
  <si>
    <t>DELU</t>
  </si>
  <si>
    <t xml:space="preserve">Desbarres </t>
  </si>
  <si>
    <t>Judith, Félicité Françoise</t>
  </si>
  <si>
    <t>r St Dominique, 57</t>
  </si>
  <si>
    <t>ve de La Bedoyère</t>
  </si>
  <si>
    <t>fils +petits fils</t>
  </si>
  <si>
    <t>18-5-1818</t>
  </si>
  <si>
    <t>3-10-1818</t>
  </si>
  <si>
    <t>DEST</t>
  </si>
  <si>
    <t>DESV</t>
  </si>
  <si>
    <t>Doyen</t>
  </si>
  <si>
    <t>r Neuve St Roch, 94</t>
  </si>
  <si>
    <t>1/2 m r des Petits Augustins</t>
  </si>
  <si>
    <t>DUT</t>
  </si>
  <si>
    <t>EL</t>
  </si>
  <si>
    <t>EU</t>
  </si>
  <si>
    <t>FAGET DE BAURRE</t>
  </si>
  <si>
    <t>PRES DE LA COUR ROYALE</t>
  </si>
  <si>
    <t>BOURBON 61</t>
  </si>
  <si>
    <t>FAN</t>
  </si>
  <si>
    <t>FATRE</t>
  </si>
  <si>
    <t>DE LA MORTALERIE 150</t>
  </si>
  <si>
    <t>VE+ENFS</t>
  </si>
  <si>
    <t>9.7.1817</t>
  </si>
  <si>
    <t>1/2 R DE LA MORTELLERIE 150+R ST CHRISTOPHE 5</t>
  </si>
  <si>
    <t>FAUCHE</t>
  </si>
  <si>
    <t>MARIE ELISABETH SCOLASTIQUE</t>
  </si>
  <si>
    <t>DE BUSSY 8</t>
  </si>
  <si>
    <t>MARI+ENFS</t>
  </si>
  <si>
    <t>FEG</t>
  </si>
  <si>
    <t>1/4 OU 8EME R ISLE ST LOUIS 65 ET 69</t>
  </si>
  <si>
    <t>FOULEE</t>
  </si>
  <si>
    <t>F ST JACQUES 11</t>
  </si>
  <si>
    <t>1.4.1818</t>
  </si>
  <si>
    <t>R DE BUSSY 10</t>
  </si>
  <si>
    <t>FOUG</t>
  </si>
  <si>
    <t>PORTION R DE LA TXADIERE 78</t>
  </si>
  <si>
    <t>GRAVILIERE 44</t>
  </si>
  <si>
    <t>17.9.1817</t>
  </si>
  <si>
    <t>R ST ANTOINE 4</t>
  </si>
  <si>
    <t>FRENOIR</t>
  </si>
  <si>
    <t>QUAI DE CELECTINS 19</t>
  </si>
  <si>
    <t>3.4.1818</t>
  </si>
  <si>
    <t>R DE LECHAUDIERE 11</t>
  </si>
  <si>
    <t>14.8.1818</t>
  </si>
  <si>
    <t>Henriette Gabrielle Duriez</t>
  </si>
  <si>
    <t>15.7.1817</t>
  </si>
  <si>
    <t>Poncet</t>
  </si>
  <si>
    <t>Avoue a la court</t>
  </si>
  <si>
    <t>Rameau 8</t>
  </si>
  <si>
    <t>Michel Marie Louise</t>
  </si>
  <si>
    <t>Fille min et ve</t>
  </si>
  <si>
    <t>Poncelet</t>
  </si>
  <si>
    <t>St georges 31</t>
  </si>
  <si>
    <t>Le joyard pierre Antoine</t>
  </si>
  <si>
    <t>14.3.1818</t>
  </si>
  <si>
    <t>Potonier</t>
  </si>
  <si>
    <t>Nve des petits champs 63</t>
  </si>
  <si>
    <t>Div Pierre Louis Lemenceau ve de Ernest Charles Henry Denoue, vve de Claude oudinot Not a paris</t>
  </si>
  <si>
    <t>Freres et soeurs (fille renonce)</t>
  </si>
  <si>
    <t>Pottie</t>
  </si>
  <si>
    <t xml:space="preserve">Denis </t>
  </si>
  <si>
    <t>Md Cullotier</t>
  </si>
  <si>
    <t>Richelieu 37</t>
  </si>
  <si>
    <t>Vf Anne Marie Winter 2m Marie Jeanne Nicole Dechu</t>
  </si>
  <si>
    <t>enf 1m 2 et ve</t>
  </si>
  <si>
    <t>28-9-1817</t>
  </si>
  <si>
    <t>Prevoteau</t>
  </si>
  <si>
    <t>Adelaide Lambert</t>
  </si>
  <si>
    <t>Fb Roule 42</t>
  </si>
  <si>
    <t>Debourge Augustin neg</t>
  </si>
  <si>
    <t>Soeur et mari Usu</t>
  </si>
  <si>
    <t>29-4-1818</t>
  </si>
  <si>
    <t>Prisye de Chazelles</t>
  </si>
  <si>
    <t>Marie Agathe</t>
  </si>
  <si>
    <t>r Louis le Grand, 27 (2°)</t>
  </si>
  <si>
    <t>ép. DUROZIER de VERPRé, baron de BEAUVOIR, Denis</t>
  </si>
  <si>
    <t xml:space="preserve">PRI </t>
  </si>
  <si>
    <t xml:space="preserve">PRE </t>
  </si>
  <si>
    <t>Pujol</t>
  </si>
  <si>
    <t>Grange Bateliere 2</t>
  </si>
  <si>
    <t>Vf Jeanne henriette vouges +13-3-1812</t>
  </si>
  <si>
    <t>enfants 10</t>
  </si>
  <si>
    <t>Regnier</t>
  </si>
  <si>
    <t>Marie Antoinette Henriette</t>
  </si>
  <si>
    <t>Palais royal 35</t>
  </si>
  <si>
    <t>Antoine Victoire Mortier desnoyer bijoutuer</t>
  </si>
  <si>
    <t>enf mineurs 3</t>
  </si>
  <si>
    <t>21-5-1817</t>
  </si>
  <si>
    <t xml:space="preserve">REG </t>
  </si>
  <si>
    <t>RENNESSON</t>
  </si>
  <si>
    <t>Marie Félicité</t>
  </si>
  <si>
    <t>r St Honoré, 281 (1° arr)</t>
  </si>
  <si>
    <t>ép. CLERGINET, Balthazard Paul, md de vin</t>
  </si>
  <si>
    <t>son fils mineur (qui meurt à Passy le 10-1-1818…)</t>
  </si>
  <si>
    <t>9-2-1818</t>
  </si>
  <si>
    <t>REP</t>
  </si>
  <si>
    <t>Rezard de Wouve</t>
  </si>
  <si>
    <t>Louise Justine Angelique</t>
  </si>
  <si>
    <t>Ville l'eveque 21</t>
  </si>
  <si>
    <t>Barentin Montehal Louis Chev St Louis</t>
  </si>
  <si>
    <t>18-5-1820</t>
  </si>
  <si>
    <t>M Ville l'eveque 21</t>
  </si>
  <si>
    <t>RICO</t>
  </si>
  <si>
    <t>RIDET</t>
  </si>
  <si>
    <t>Madeleine Constance</t>
  </si>
  <si>
    <t>Plaine des Sablons</t>
  </si>
  <si>
    <t>ép. LAMARE, Jean Denis, md de vin (mort 9-1-1819)</t>
  </si>
  <si>
    <t>mari pr 1/4+ses 4 enf mineurs</t>
  </si>
  <si>
    <t>M fb Roule 109</t>
  </si>
  <si>
    <t>Rigault dupre</t>
  </si>
  <si>
    <t>M petit champs 32</t>
  </si>
  <si>
    <t>Ve Fr Martin dutaillis</t>
  </si>
  <si>
    <t>Enfants et petits enfant</t>
  </si>
  <si>
    <t>5-8-1818</t>
  </si>
  <si>
    <t>14-6-1819</t>
  </si>
  <si>
    <t xml:space="preserve">RIG </t>
  </si>
  <si>
    <t>Denis andre</t>
  </si>
  <si>
    <t>X maire X notaire</t>
  </si>
  <si>
    <t>Petits champs 87</t>
  </si>
  <si>
    <t>Marie Flore renee Salle</t>
  </si>
  <si>
    <t>M petits champs 87</t>
  </si>
  <si>
    <t>Rene Marthe</t>
  </si>
  <si>
    <t>Provence 30</t>
  </si>
  <si>
    <t>ve J-P Germain x banquier</t>
  </si>
  <si>
    <t>RUI</t>
  </si>
  <si>
    <t>Ve Fabre Fe J-Lo Godefroy</t>
  </si>
  <si>
    <t>M Petits champs 7</t>
  </si>
  <si>
    <t>Sabatier de Cabre</t>
  </si>
  <si>
    <t>prêtre</t>
  </si>
  <si>
    <t>r St Honoré, 372</t>
  </si>
  <si>
    <t>sa nièce</t>
  </si>
  <si>
    <t>SAJ</t>
  </si>
  <si>
    <t>SAS</t>
  </si>
  <si>
    <t>Serrot</t>
  </si>
  <si>
    <t>Thomas Francois Andre</t>
  </si>
  <si>
    <t>X cure d'arxxxville</t>
  </si>
  <si>
    <t>St marc 16</t>
  </si>
  <si>
    <t>Victor pelletier epicier LU</t>
  </si>
  <si>
    <t>Sonnet Gallier</t>
  </si>
  <si>
    <t>Grande rue Verte 42</t>
  </si>
  <si>
    <t>Vf Julie Marchand</t>
  </si>
  <si>
    <t>Fils et 1 sonnet et 1 gallier</t>
  </si>
  <si>
    <t>13-9-1817</t>
  </si>
  <si>
    <t>M Grande rue verte 42,44</t>
  </si>
  <si>
    <t>Soret</t>
  </si>
  <si>
    <t>marchande de fromage</t>
  </si>
  <si>
    <t>r de Longchamp, 8 (1°)</t>
  </si>
  <si>
    <t>ve Pichot, Jean Baptiste (mort 1788)</t>
  </si>
  <si>
    <t>son petit fils (Hagueux, vivant à Passy)+Pichot ép, Guillaume cult à Remonville</t>
  </si>
  <si>
    <t>M Longchamps 8</t>
  </si>
  <si>
    <t>Stinville de</t>
  </si>
  <si>
    <t>Marie Jeanne Julie</t>
  </si>
  <si>
    <t>Orties 8</t>
  </si>
  <si>
    <t>Ve Fr Thonneau (1) et Fe Anne Frederic Andre de Jousserant (2) Chev St Louis</t>
  </si>
  <si>
    <t>Mari en Usufruit et coll (de Peaummeau et Desbutty)</t>
  </si>
  <si>
    <t>Suard</t>
  </si>
  <si>
    <t>secrétaire perpétuel de l'académie</t>
  </si>
  <si>
    <t>r Royale, 13</t>
  </si>
  <si>
    <t>ép, Panckouke Marie Amélie</t>
  </si>
  <si>
    <t>1/8 M x</t>
  </si>
  <si>
    <t>Taverne dit Daverne Ganne</t>
  </si>
  <si>
    <t>Mde Modes</t>
  </si>
  <si>
    <t>Bons enfants 27</t>
  </si>
  <si>
    <t>non Marie</t>
  </si>
  <si>
    <t>enfants naturels  1/2 pere 1/4 soeur 1/4</t>
  </si>
  <si>
    <t>Terzuolo</t>
  </si>
  <si>
    <t>Nve des Mathurins 1</t>
  </si>
  <si>
    <t>Mere 1/4 soeur 3/4</t>
  </si>
  <si>
    <t>Thevenin</t>
  </si>
  <si>
    <t>Gaillon 17</t>
  </si>
  <si>
    <t>Ve Boulee alexandre</t>
  </si>
  <si>
    <t>9-8-1817</t>
  </si>
  <si>
    <t xml:space="preserve">Travers </t>
  </si>
  <si>
    <t>Pierre Jean Francois</t>
  </si>
  <si>
    <t>Serrurier prop</t>
  </si>
  <si>
    <t>Feydeau 11</t>
  </si>
  <si>
    <t>Phelipeaux Marguerite Louise</t>
  </si>
  <si>
    <t>St nicolas 55, Cl Sac Argenteuil 10-12, St nicolas 52, st nicolas 46, Feydeau 11, Chantereine 13, Clichy 29</t>
  </si>
  <si>
    <t>Thacussios</t>
  </si>
  <si>
    <t>Honore Julien</t>
  </si>
  <si>
    <t>Doyen des Avocats</t>
  </si>
  <si>
    <t>r Thiron 7</t>
  </si>
  <si>
    <t>Vf Marie angelique Genevieve Joly</t>
  </si>
  <si>
    <t>26-7-2817</t>
  </si>
  <si>
    <t>M Richelieu 59</t>
  </si>
  <si>
    <t>Thierry</t>
  </si>
  <si>
    <t>Madeleine Julie</t>
  </si>
  <si>
    <t>Vivienne 19</t>
  </si>
  <si>
    <t>Gorneau Louis Alexandre Joseph</t>
  </si>
  <si>
    <t>Mari pere mere</t>
  </si>
  <si>
    <t>Dot</t>
  </si>
  <si>
    <t>M x</t>
  </si>
  <si>
    <t>Thumelair</t>
  </si>
  <si>
    <t>Marie Theophile</t>
  </si>
  <si>
    <t>Belefond 30</t>
  </si>
  <si>
    <t>Ve Philippe Nicolas Cordier (1) et Francois Petillot (2)</t>
  </si>
  <si>
    <t>14-7-1817</t>
  </si>
  <si>
    <t>M Bellefont 30</t>
  </si>
  <si>
    <t>URQUIJO</t>
  </si>
  <si>
    <t>MARIANO LOUIS</t>
  </si>
  <si>
    <t>EX MINISTRE ESPAGNOL</t>
  </si>
  <si>
    <t>RICHELIEU 47</t>
  </si>
  <si>
    <t>PERSONNES PARENTES</t>
  </si>
  <si>
    <t>17.10.1817</t>
  </si>
  <si>
    <t>VAG</t>
  </si>
  <si>
    <t>VALA</t>
  </si>
  <si>
    <t>VALS</t>
  </si>
  <si>
    <t>Vassal</t>
  </si>
  <si>
    <t>Marguerite Henriette</t>
  </si>
  <si>
    <t>Sourdiere 16</t>
  </si>
  <si>
    <t>Ve Seguier Antoine Louis Avocat Gal du parlement de paris</t>
  </si>
  <si>
    <t>fils 2</t>
  </si>
  <si>
    <t>10-7-1817</t>
  </si>
  <si>
    <t>15-9-1819</t>
  </si>
  <si>
    <t>VAX</t>
  </si>
  <si>
    <t>VEB</t>
  </si>
  <si>
    <t>Q voltaire 21</t>
  </si>
  <si>
    <t>Achille Pierre Felix vigier mineur</t>
  </si>
  <si>
    <t>Vignon</t>
  </si>
  <si>
    <t>r Richer 4 Passage saunier</t>
  </si>
  <si>
    <t>Ma Philippe theodore jean baptiste Lucquin, divorcee de Gaudelet</t>
  </si>
  <si>
    <t>2 enf 1er mar et 3 enf du 2eme mar</t>
  </si>
  <si>
    <t>Villard</t>
  </si>
  <si>
    <t>r Pierre lescot 11</t>
  </si>
  <si>
    <t>ep Mondotmert Madelaine</t>
  </si>
  <si>
    <t>M Gaillon 21</t>
  </si>
  <si>
    <t>IMBERT</t>
  </si>
  <si>
    <t>COLON</t>
  </si>
  <si>
    <t>BELLESME ORNE</t>
  </si>
  <si>
    <t>BELLESME</t>
  </si>
  <si>
    <t>5.2.1818</t>
  </si>
  <si>
    <t>SIX ARCADES AU PALAIS ROYAL 149.150.151.152.153.154</t>
  </si>
  <si>
    <t>JOLY DE FLEURY</t>
  </si>
  <si>
    <t>FRSE BONNE GENEVIEVE</t>
  </si>
  <si>
    <t>ST HONORE 372</t>
  </si>
  <si>
    <t>11.10.17</t>
  </si>
  <si>
    <t xml:space="preserve">JOLY  </t>
  </si>
  <si>
    <t>CHARLES DENIS</t>
  </si>
  <si>
    <t>X FOURNISSEUR</t>
  </si>
  <si>
    <t>PROVENCE 10</t>
  </si>
  <si>
    <t>28.4.1818</t>
  </si>
  <si>
    <t>BEH</t>
  </si>
  <si>
    <t>BOUY</t>
  </si>
  <si>
    <t>CARI</t>
  </si>
  <si>
    <t>GIRAULT</t>
  </si>
  <si>
    <t>Filles 2</t>
  </si>
  <si>
    <t>DELAI</t>
  </si>
  <si>
    <t>Comte</t>
  </si>
  <si>
    <t xml:space="preserve">DEM </t>
  </si>
  <si>
    <t>MAHIEU</t>
  </si>
  <si>
    <t>NEU</t>
  </si>
  <si>
    <t>PUC</t>
  </si>
  <si>
    <t>REA</t>
  </si>
  <si>
    <t>STI</t>
  </si>
  <si>
    <t>JAL</t>
  </si>
  <si>
    <t>Marie madeleine</t>
  </si>
  <si>
    <t xml:space="preserve">DURA </t>
  </si>
  <si>
    <t>ER</t>
  </si>
  <si>
    <t>FEV</t>
  </si>
  <si>
    <t>GIO</t>
  </si>
  <si>
    <t>GOR</t>
  </si>
  <si>
    <t>HIL</t>
  </si>
  <si>
    <t>LIO</t>
  </si>
  <si>
    <t>Nicolas Jean</t>
  </si>
  <si>
    <t>ses enfants</t>
  </si>
  <si>
    <t xml:space="preserve">DUM </t>
  </si>
  <si>
    <t>EY</t>
  </si>
  <si>
    <t>Foucault</t>
  </si>
  <si>
    <t>M/E</t>
  </si>
  <si>
    <t>Lepage</t>
  </si>
  <si>
    <t>Pierre Philippe</t>
  </si>
  <si>
    <t>LUNP</t>
  </si>
  <si>
    <t>fils 3</t>
  </si>
  <si>
    <t>Morin</t>
  </si>
  <si>
    <t>SEI</t>
  </si>
  <si>
    <t>MDE DE VIN</t>
  </si>
  <si>
    <t>JAR</t>
  </si>
  <si>
    <t>Alboy</t>
  </si>
  <si>
    <t>Henriette Martine</t>
  </si>
  <si>
    <t>Sourdiere 21</t>
  </si>
  <si>
    <t>Pierre martin Coste avocat cour de cassation</t>
  </si>
  <si>
    <t>coste 3</t>
  </si>
  <si>
    <t>4-9-1819</t>
  </si>
  <si>
    <t>Alizard</t>
  </si>
  <si>
    <t>St thomas du louvre 30</t>
  </si>
  <si>
    <t>Vf Marie Robert morte An VIII</t>
  </si>
  <si>
    <t>3-11-1817</t>
  </si>
  <si>
    <t>Prop x menuisier</t>
  </si>
  <si>
    <t>Nd Champs</t>
  </si>
  <si>
    <t>Bertin</t>
  </si>
  <si>
    <t>Jeanne Adelaide</t>
  </si>
  <si>
    <t>Moufetard 100</t>
  </si>
  <si>
    <t>Ma Lefevre</t>
  </si>
  <si>
    <t>23-7-1817</t>
  </si>
  <si>
    <t>Bertrand</t>
  </si>
  <si>
    <t>Tournon 2</t>
  </si>
  <si>
    <t>29-7-1817</t>
  </si>
  <si>
    <t>Bes</t>
  </si>
  <si>
    <t>bet</t>
  </si>
  <si>
    <t>Beurger</t>
  </si>
  <si>
    <t>Henriette</t>
  </si>
  <si>
    <t>Imp Feuillantines</t>
  </si>
  <si>
    <t>ma Fontenau duchesne</t>
  </si>
  <si>
    <t>Bid</t>
  </si>
  <si>
    <t>Bil</t>
  </si>
  <si>
    <t>Carre</t>
  </si>
  <si>
    <t>Edmee Charlotte</t>
  </si>
  <si>
    <t>Massillon 1</t>
  </si>
  <si>
    <t>cass</t>
  </si>
  <si>
    <t>Cat</t>
  </si>
  <si>
    <t>Catherineet</t>
  </si>
  <si>
    <t>Francoise Catherine</t>
  </si>
  <si>
    <t>Ma Grandind</t>
  </si>
  <si>
    <t>Jean Francois Honoire</t>
  </si>
  <si>
    <t>Md Peaux</t>
  </si>
  <si>
    <t>Moufetard 166</t>
  </si>
  <si>
    <t>Marie Mathieu</t>
  </si>
  <si>
    <t>Enf</t>
  </si>
  <si>
    <t>10-3-1818</t>
  </si>
  <si>
    <t>3-2-1819</t>
  </si>
  <si>
    <t xml:space="preserve">M R Luxnor 17 et 12 </t>
  </si>
  <si>
    <t>Simon Nicolas</t>
  </si>
  <si>
    <t>Git le coeur 12</t>
  </si>
  <si>
    <t>Catherine antoinette durand</t>
  </si>
  <si>
    <t>Charetiere 5</t>
  </si>
  <si>
    <t>Gatain 5</t>
  </si>
  <si>
    <t>Meriere 8</t>
  </si>
  <si>
    <t>Bernard de Montebise</t>
  </si>
  <si>
    <t>Armande Marguerite</t>
  </si>
  <si>
    <t>Bourges</t>
  </si>
  <si>
    <t>Ve Gassot de Deffons Alexandre mathurin</t>
  </si>
  <si>
    <t>1 her</t>
  </si>
  <si>
    <t>23-3-1819</t>
  </si>
  <si>
    <t>P de M dt la total =5109 st jacques 69 bis et 71</t>
  </si>
  <si>
    <t>Boully</t>
  </si>
  <si>
    <t>St jacques 71</t>
  </si>
  <si>
    <t>Claude Lendot</t>
  </si>
  <si>
    <t>Bry</t>
  </si>
  <si>
    <t>Marie Therese</t>
  </si>
  <si>
    <t>Mouffetard 228</t>
  </si>
  <si>
    <t>Robert Julien Begin</t>
  </si>
  <si>
    <t>4-4-1818</t>
  </si>
  <si>
    <t>PHILIPPE</t>
  </si>
  <si>
    <t>BRUN</t>
  </si>
  <si>
    <t>LEF</t>
  </si>
  <si>
    <t>LEC</t>
  </si>
  <si>
    <t>LEZ</t>
  </si>
  <si>
    <t>MILITAIRE</t>
  </si>
  <si>
    <t>MONI</t>
  </si>
  <si>
    <t>Rouen</t>
  </si>
  <si>
    <t>ses 4 enf</t>
  </si>
  <si>
    <t>OG</t>
  </si>
  <si>
    <t>PIT</t>
  </si>
  <si>
    <t>PER</t>
  </si>
  <si>
    <t>Paul</t>
  </si>
  <si>
    <t>PELLERIN</t>
  </si>
  <si>
    <t>RIC</t>
  </si>
  <si>
    <t>Aboville d'</t>
  </si>
  <si>
    <t>Francois marie</t>
  </si>
  <si>
    <t>Comte Pair de france</t>
  </si>
  <si>
    <t>Pl royalle 21</t>
  </si>
  <si>
    <t>Martin de Vraine Angelique Gabrielle Dominque</t>
  </si>
  <si>
    <t>D'aboville 4</t>
  </si>
  <si>
    <t>27-3-1818</t>
  </si>
  <si>
    <t>AME</t>
  </si>
  <si>
    <t>Anjorrant</t>
  </si>
  <si>
    <t>Henriette Simone</t>
  </si>
  <si>
    <t>Orleans au marais</t>
  </si>
  <si>
    <t>M Bide antoine germain cte ede Marville</t>
  </si>
  <si>
    <t>Anjorrant LU</t>
  </si>
  <si>
    <t>Orleans au marais 10</t>
  </si>
  <si>
    <t>Armant</t>
  </si>
  <si>
    <t>Mary Marguerite</t>
  </si>
  <si>
    <t>DE LAPPE 51</t>
  </si>
  <si>
    <t>Div de Pierre Doumergue</t>
  </si>
  <si>
    <t>Artoise</t>
  </si>
  <si>
    <t>Corderie 5</t>
  </si>
  <si>
    <t>Rossignol Pierre antoine fruitier</t>
  </si>
  <si>
    <t>Mari LU</t>
  </si>
  <si>
    <t>Touraine 3</t>
  </si>
  <si>
    <t xml:space="preserve">BAC </t>
  </si>
  <si>
    <t>Fab de couvertures</t>
  </si>
  <si>
    <t>st victor</t>
  </si>
  <si>
    <t>Anjou ai marias</t>
  </si>
  <si>
    <t>r du Temple, 3</t>
  </si>
  <si>
    <t>vf de COUSSERAND, Marie Antoinette</t>
  </si>
  <si>
    <t>ses petits enf 1/2 ss la tutelle de leur mère 1/2</t>
  </si>
  <si>
    <t>23-9-1817</t>
  </si>
  <si>
    <t>temple 3</t>
  </si>
  <si>
    <t>BARN</t>
  </si>
  <si>
    <t>1/2 m r de la ferronneerie, 9</t>
  </si>
  <si>
    <t>Benech</t>
  </si>
  <si>
    <t>Md de métaux</t>
  </si>
  <si>
    <t>r Vieille du temple, 5 et 7</t>
  </si>
  <si>
    <t>ép. Delmas, Marie Elizabeth</t>
  </si>
  <si>
    <t>30-7-1817</t>
  </si>
  <si>
    <t>m r Vieille du temple, 5</t>
  </si>
  <si>
    <t>Bedane</t>
  </si>
  <si>
    <t>Marie anne angélique</t>
  </si>
  <si>
    <t>r St Claude, 6</t>
  </si>
  <si>
    <t>ve Caminet, Georges</t>
  </si>
  <si>
    <t>gendre+petits enf</t>
  </si>
  <si>
    <t>7.5.1819</t>
  </si>
  <si>
    <t>Bedel</t>
  </si>
  <si>
    <t>Jacques Henri</t>
  </si>
  <si>
    <t>reuilly 28</t>
  </si>
  <si>
    <t>Vf sentier Marie claude</t>
  </si>
  <si>
    <t>fille et petite fille</t>
  </si>
  <si>
    <t>1-7-1818</t>
  </si>
  <si>
    <t xml:space="preserve">M Reuill 32,34 </t>
  </si>
  <si>
    <t>Beral</t>
  </si>
  <si>
    <t>ferrailleuse</t>
  </si>
  <si>
    <t>r du Fg St Antoine, 51</t>
  </si>
  <si>
    <t>ve Pertus, Jean</t>
  </si>
  <si>
    <t>ses 2 filles mineures</t>
  </si>
  <si>
    <t>BETHERY</t>
  </si>
  <si>
    <t>Reine</t>
  </si>
  <si>
    <t>r Neuve Ste Catherine, 17</t>
  </si>
  <si>
    <t>ép. VINCENT, Jean-Louis Pierre</t>
  </si>
  <si>
    <t>19-8-1820</t>
  </si>
  <si>
    <t>m r du Foin, 48 (conquêt)</t>
  </si>
  <si>
    <t>fg St Martin, 56</t>
  </si>
  <si>
    <t>1/2 m Aval 16</t>
  </si>
  <si>
    <t>Blaswait</t>
  </si>
  <si>
    <t>Jacques Charles Noel</t>
  </si>
  <si>
    <t>Puits au Marais 8</t>
  </si>
  <si>
    <t>Laborde marie josephine Amelie</t>
  </si>
  <si>
    <t>filles et ve isi</t>
  </si>
  <si>
    <t>4.2.1817</t>
  </si>
  <si>
    <t>Charles Lo</t>
  </si>
  <si>
    <t>Sellier</t>
  </si>
  <si>
    <t>Fr Bourgeois 3</t>
  </si>
  <si>
    <t>Vf Francoise Theodose Guillaume</t>
  </si>
  <si>
    <t>28-3-18</t>
  </si>
  <si>
    <t>Bordier</t>
  </si>
  <si>
    <t>Deux portes st jean</t>
  </si>
  <si>
    <t>Niece Leg et fils 1</t>
  </si>
  <si>
    <t>24-12-17</t>
  </si>
  <si>
    <t>Verrerrie 33</t>
  </si>
  <si>
    <t>30-12-17</t>
  </si>
  <si>
    <t>REUilly 4</t>
  </si>
  <si>
    <t>St paul 45</t>
  </si>
  <si>
    <t>Dufosse Jacques Jules</t>
  </si>
  <si>
    <t>14-8-17</t>
  </si>
  <si>
    <t>M st merry 47</t>
  </si>
  <si>
    <t>1/2 mTraversiere 35</t>
  </si>
  <si>
    <t xml:space="preserve">BOY </t>
  </si>
  <si>
    <t>Ve Lagrenee Martin</t>
  </si>
  <si>
    <t>enfant et petite fille</t>
  </si>
  <si>
    <t>Verrerie 39</t>
  </si>
  <si>
    <t>Vielle du temple 114</t>
  </si>
  <si>
    <t>terrain et bâtiment r de Berry, 5</t>
  </si>
  <si>
    <t>1/2 m r du fg du Roule, 256</t>
  </si>
  <si>
    <t>Caffin</t>
  </si>
  <si>
    <t>Losserie 7</t>
  </si>
  <si>
    <t>8-2-1845</t>
  </si>
  <si>
    <t>Fb St antoine 36</t>
  </si>
  <si>
    <t>Philippe theodore</t>
  </si>
  <si>
    <t xml:space="preserve">neg </t>
  </si>
  <si>
    <t>temple 62</t>
  </si>
  <si>
    <t>Briard eleonore felicite</t>
  </si>
  <si>
    <t>MAI</t>
  </si>
  <si>
    <t>Pierre Joseph</t>
  </si>
  <si>
    <t>MAJ</t>
  </si>
  <si>
    <t>MAL</t>
  </si>
  <si>
    <t>MAN</t>
  </si>
  <si>
    <t>MASSENA PRINCE D'ESSLING</t>
  </si>
  <si>
    <t>ANDRE</t>
  </si>
  <si>
    <t>R LE BOURBON 84</t>
  </si>
  <si>
    <t>3.10.1817</t>
  </si>
  <si>
    <t>HOTEL RUE DE BOURON 94</t>
  </si>
  <si>
    <t>CHÂTEAU DE RUEIL BUR DE MARLY</t>
  </si>
  <si>
    <t>1.10.1817</t>
  </si>
  <si>
    <t>ve et enfants 3</t>
  </si>
  <si>
    <t>15-11-18917</t>
  </si>
  <si>
    <t xml:space="preserve">CAR </t>
  </si>
  <si>
    <t>Carpentier</t>
  </si>
  <si>
    <t>Jean baptistre</t>
  </si>
  <si>
    <t>Limoges 2</t>
  </si>
  <si>
    <t>Vf Brideur Marie anne</t>
  </si>
  <si>
    <t>petit fils mineur</t>
  </si>
  <si>
    <t>Marie angélique</t>
  </si>
  <si>
    <t>Chat qui peche 8</t>
  </si>
  <si>
    <t>Fournier Jacques marie</t>
  </si>
  <si>
    <t>27-101-1827</t>
  </si>
  <si>
    <t>M chat qui pegche 8 et thorigny</t>
  </si>
  <si>
    <t>Chaulaire</t>
  </si>
  <si>
    <t>Pierre Gilles</t>
  </si>
  <si>
    <t>18-6-1818</t>
  </si>
  <si>
    <t>Chavigny</t>
  </si>
  <si>
    <t>Facteur au charbons</t>
  </si>
  <si>
    <t>aval 14</t>
  </si>
  <si>
    <t>Villers coteret</t>
  </si>
  <si>
    <t>Coutart Marie Genevieve</t>
  </si>
  <si>
    <t>enfants 3 1maj e min</t>
  </si>
  <si>
    <t>CHU</t>
  </si>
  <si>
    <t>Clavier</t>
  </si>
  <si>
    <t>Etiene</t>
  </si>
  <si>
    <t>Gd Chantier 8</t>
  </si>
  <si>
    <t>Dubochet Catherine</t>
  </si>
  <si>
    <t>fils min tut mere</t>
  </si>
  <si>
    <t>8-5-1818</t>
  </si>
  <si>
    <t>Clery</t>
  </si>
  <si>
    <t>St benoit 7</t>
  </si>
  <si>
    <t>Ve Peigne Louis claude prop fe Simone de Maisonnevue Pierre jean baptiste</t>
  </si>
  <si>
    <t>Fb st antoine 79</t>
  </si>
  <si>
    <t>Clair</t>
  </si>
  <si>
    <t>CHO</t>
  </si>
  <si>
    <t>Jean Charles</t>
  </si>
  <si>
    <t>sa sœur</t>
  </si>
  <si>
    <t>Tournon 12</t>
  </si>
  <si>
    <t>Ve pierre sebastien gerbet</t>
  </si>
  <si>
    <t>Serrault</t>
  </si>
  <si>
    <t>Tournelles 3</t>
  </si>
  <si>
    <t>Moullin</t>
  </si>
  <si>
    <t>22-8-1817</t>
  </si>
  <si>
    <t>Sivry</t>
  </si>
  <si>
    <t>x boulanger</t>
  </si>
  <si>
    <t>harpe 103</t>
  </si>
  <si>
    <t>Fournier anne</t>
  </si>
  <si>
    <t>ve et 2 siviry</t>
  </si>
  <si>
    <t>Harpe 103</t>
  </si>
  <si>
    <t>St jacques 366</t>
  </si>
  <si>
    <t>Sous chef au pt et chss</t>
  </si>
  <si>
    <t>Gd augustin 27</t>
  </si>
  <si>
    <t>Lajolinerie Catherine elizabeth</t>
  </si>
  <si>
    <t>Marie adelaide madelaine</t>
  </si>
  <si>
    <t>Ourcines 2</t>
  </si>
  <si>
    <t>Antoine colas</t>
  </si>
  <si>
    <t>Mari et 2 fils</t>
  </si>
  <si>
    <t>Mouffetard 160</t>
  </si>
  <si>
    <t>R de versailles 12 et 15 et bonpout 8</t>
  </si>
  <si>
    <t>St jacques 218</t>
  </si>
  <si>
    <t>Fr vincent</t>
  </si>
  <si>
    <t>Oblin</t>
  </si>
  <si>
    <t>Nve st etienne 17</t>
  </si>
  <si>
    <t>Marie anne Chatelet</t>
  </si>
  <si>
    <t>27-11-1819</t>
  </si>
  <si>
    <t>Delanoue</t>
  </si>
  <si>
    <t>14-10-1817</t>
  </si>
  <si>
    <t>enfants 2</t>
  </si>
  <si>
    <t>21-8-1817</t>
  </si>
  <si>
    <t>Anne</t>
  </si>
  <si>
    <t>petit</t>
  </si>
  <si>
    <t>1/2 St severin 20</t>
  </si>
  <si>
    <t>1/2 de M St victor 65 M ibid 67 M cloitre st Marcel 11 M st genevieve 49 M Traversine 21</t>
  </si>
  <si>
    <t>1/2 Francs bourgeois 6, 12 ,1 8 et Mouffetard 144</t>
  </si>
  <si>
    <t>1/2 quai des orfevre 22 et 24</t>
  </si>
  <si>
    <t>1/2 Foin st jacque 19</t>
  </si>
  <si>
    <t>1/4 m Mouffetard 97</t>
  </si>
  <si>
    <t>0.5*3/8 Mouffetard 49</t>
  </si>
  <si>
    <t>1/8 M bourguignons 6</t>
  </si>
  <si>
    <t>1/2 Oursine 72</t>
  </si>
  <si>
    <t>1/2 pl Collegialle 8b</t>
  </si>
  <si>
    <t>1/2 M St jacques 251</t>
  </si>
  <si>
    <t>1/2 M st severin 4 et 6</t>
  </si>
  <si>
    <t>1/P Cannette 12</t>
  </si>
  <si>
    <t>0.76 Bucherie 4</t>
  </si>
  <si>
    <t>1/2 St victor 1</t>
  </si>
  <si>
    <t>1/2 Hautefeuille 10</t>
  </si>
  <si>
    <t>1/2 M copeau 31</t>
  </si>
  <si>
    <t>2/3 St victor 28 et 43</t>
  </si>
  <si>
    <t>bre</t>
  </si>
  <si>
    <t>Julie catherine</t>
  </si>
  <si>
    <t>x religieuse</t>
  </si>
  <si>
    <t>St Dominique enfer 9</t>
  </si>
  <si>
    <t>17-7-1817</t>
  </si>
  <si>
    <t>Bridoux</t>
  </si>
  <si>
    <t>Marie Adelaide Valentine</t>
  </si>
  <si>
    <t>St Jacques 229</t>
  </si>
  <si>
    <t>Fe ramboux</t>
  </si>
  <si>
    <t>10-10-1817</t>
  </si>
  <si>
    <t>Bridier</t>
  </si>
  <si>
    <t>Marie Marguerite Victoire</t>
  </si>
  <si>
    <t>Q orfevres 4</t>
  </si>
  <si>
    <t>St Prix</t>
  </si>
  <si>
    <t>8-12-1817</t>
  </si>
  <si>
    <t>Brig</t>
  </si>
  <si>
    <t>Bris</t>
  </si>
  <si>
    <t>Brochard</t>
  </si>
  <si>
    <t>portier</t>
  </si>
  <si>
    <t>Dauphine</t>
  </si>
  <si>
    <t>ma Lavier</t>
  </si>
  <si>
    <t>Bro</t>
  </si>
  <si>
    <t>Brusle</t>
  </si>
  <si>
    <t>Anne Rosalie</t>
  </si>
  <si>
    <t>R st Honnore 48</t>
  </si>
  <si>
    <t>Brus</t>
  </si>
  <si>
    <t>Bunon</t>
  </si>
  <si>
    <t>st Jacques 240</t>
  </si>
  <si>
    <t>Bureau du Colombier</t>
  </si>
  <si>
    <t>Busquet</t>
  </si>
  <si>
    <t>md mercier</t>
  </si>
  <si>
    <t>MT St Genevieve 21</t>
  </si>
  <si>
    <t>ma Leborgne</t>
  </si>
  <si>
    <t>20-4-1817</t>
  </si>
  <si>
    <t>Buv</t>
  </si>
  <si>
    <t>Cad</t>
  </si>
  <si>
    <t>Cag</t>
  </si>
  <si>
    <t>Cahagne</t>
  </si>
  <si>
    <t>Barbe Marthe</t>
  </si>
  <si>
    <t>Savoie 4</t>
  </si>
  <si>
    <t>ma Berger</t>
  </si>
  <si>
    <t>gendres</t>
  </si>
  <si>
    <t>30-4-1817</t>
  </si>
  <si>
    <t>Cai</t>
  </si>
  <si>
    <t>can</t>
  </si>
  <si>
    <t>carl</t>
  </si>
  <si>
    <t>Charp</t>
  </si>
  <si>
    <t>Chateau</t>
  </si>
  <si>
    <t>Jean Francos</t>
  </si>
  <si>
    <t>Cordonier</t>
  </si>
  <si>
    <t>Buffon 17</t>
  </si>
  <si>
    <t>Ma Lerouleaux</t>
  </si>
  <si>
    <t>Chat</t>
  </si>
  <si>
    <t>Chau</t>
  </si>
  <si>
    <t>Chei</t>
  </si>
  <si>
    <t>Cher</t>
  </si>
  <si>
    <t>Chev</t>
  </si>
  <si>
    <t>chu</t>
  </si>
  <si>
    <t>cla</t>
  </si>
  <si>
    <t>Claveau de la Chapelle</t>
  </si>
  <si>
    <t>Marie Denise</t>
  </si>
  <si>
    <t>Nve Guillemain</t>
  </si>
  <si>
    <t>ve Remiere</t>
  </si>
  <si>
    <t>18-3-1817</t>
  </si>
  <si>
    <t>Clesle</t>
  </si>
  <si>
    <t>François Gilbert</t>
  </si>
  <si>
    <t>Nve De serine</t>
  </si>
  <si>
    <t>cousin</t>
  </si>
  <si>
    <t>1-3-1817</t>
  </si>
  <si>
    <t>clousier</t>
  </si>
  <si>
    <t>coc</t>
  </si>
  <si>
    <t>cog</t>
  </si>
  <si>
    <t>coi</t>
  </si>
  <si>
    <t>Colo</t>
  </si>
  <si>
    <t>Combier</t>
  </si>
  <si>
    <t>Montmorency</t>
  </si>
  <si>
    <t>Con</t>
  </si>
  <si>
    <t>Cor</t>
  </si>
  <si>
    <t>Coq</t>
  </si>
  <si>
    <t>cel</t>
  </si>
  <si>
    <t>cer</t>
  </si>
  <si>
    <t>Chancerel</t>
  </si>
  <si>
    <t>Meziere</t>
  </si>
  <si>
    <t>28-4-1817</t>
  </si>
  <si>
    <t>Chan</t>
  </si>
  <si>
    <t>Chap</t>
  </si>
  <si>
    <t>chap</t>
  </si>
  <si>
    <t>Bouq</t>
  </si>
  <si>
    <t>Bourcier</t>
  </si>
  <si>
    <t>Antoinette Rosalie</t>
  </si>
  <si>
    <t>observatoire</t>
  </si>
  <si>
    <t>27-2-1818</t>
  </si>
  <si>
    <t>Bourd</t>
  </si>
  <si>
    <t>Bouresche</t>
  </si>
  <si>
    <t>Parcheminiere</t>
  </si>
  <si>
    <t>28-8-1817</t>
  </si>
  <si>
    <t>Bourg</t>
  </si>
  <si>
    <t>Boursin</t>
  </si>
  <si>
    <t>Toussaint Michel</t>
  </si>
  <si>
    <t>pere</t>
  </si>
  <si>
    <t>19-8-1818</t>
  </si>
  <si>
    <t>pierrre</t>
  </si>
  <si>
    <t>Harpe 19</t>
  </si>
  <si>
    <t>Fumiste</t>
  </si>
  <si>
    <t>Ma Clement</t>
  </si>
  <si>
    <t>18-9-1817</t>
  </si>
  <si>
    <t>Bousse</t>
  </si>
  <si>
    <t>Bout</t>
  </si>
  <si>
    <t>Bra</t>
  </si>
  <si>
    <t>Couf</t>
  </si>
  <si>
    <t>Cour</t>
  </si>
  <si>
    <t>Cous</t>
  </si>
  <si>
    <t>Couv</t>
  </si>
  <si>
    <t>Coy</t>
  </si>
  <si>
    <t>Crepin</t>
  </si>
  <si>
    <t>Adelaide</t>
  </si>
  <si>
    <t>Ve chappe</t>
  </si>
  <si>
    <t>28-8-1819</t>
  </si>
  <si>
    <t>Cro</t>
  </si>
  <si>
    <t>Crouan</t>
  </si>
  <si>
    <t>cru</t>
  </si>
  <si>
    <t>dal</t>
  </si>
  <si>
    <t>dam</t>
  </si>
  <si>
    <t>desherence</t>
  </si>
  <si>
    <t>dan</t>
  </si>
  <si>
    <t>dar</t>
  </si>
  <si>
    <t>dau</t>
  </si>
  <si>
    <t>1/2 M lyonnais 8 et Galande 62</t>
  </si>
  <si>
    <t>7/15 M st jacques 268</t>
  </si>
  <si>
    <t>1/2 Mouffetard 54</t>
  </si>
  <si>
    <t>1/2 M d'enfer 22</t>
  </si>
  <si>
    <t>1/2 Fosses mr le prince 53</t>
  </si>
  <si>
    <t>1/2 Parcheminerie 6</t>
  </si>
  <si>
    <t>1/2 St etienne 33</t>
  </si>
  <si>
    <t>Boulanger</t>
  </si>
  <si>
    <t>15-1-1818</t>
  </si>
  <si>
    <t>Fils 1</t>
  </si>
  <si>
    <t>Enfants mineurs</t>
  </si>
  <si>
    <t>9-4-1818</t>
  </si>
  <si>
    <t>Marie anne</t>
  </si>
  <si>
    <t>Avocat</t>
  </si>
  <si>
    <t>Antoine</t>
  </si>
  <si>
    <t>Edme</t>
  </si>
  <si>
    <t>4-6-1818</t>
  </si>
  <si>
    <t>Charles Joseph</t>
  </si>
  <si>
    <t>5-7-1817</t>
  </si>
  <si>
    <t>Joseph</t>
  </si>
  <si>
    <t>Le mans</t>
  </si>
  <si>
    <t>Rentier</t>
  </si>
  <si>
    <t>22-10-1817</t>
  </si>
  <si>
    <t>iere lettre du nom NN</t>
  </si>
  <si>
    <t>Ndcl1 na</t>
  </si>
  <si>
    <t>14-2-1818</t>
  </si>
  <si>
    <t>Goudin</t>
  </si>
  <si>
    <t>Mathias Bernard</t>
  </si>
  <si>
    <t>6-11-1817</t>
  </si>
  <si>
    <t>13-6-1817</t>
  </si>
  <si>
    <t>Marie</t>
  </si>
  <si>
    <t>enfant</t>
  </si>
  <si>
    <t>Denis</t>
  </si>
  <si>
    <t>enf min 2</t>
  </si>
  <si>
    <t>27-9-1817</t>
  </si>
  <si>
    <t>17-4-1818</t>
  </si>
  <si>
    <t>Claude</t>
  </si>
  <si>
    <t>2-9-1817</t>
  </si>
  <si>
    <t>aubert</t>
  </si>
  <si>
    <t>louise charlotte</t>
  </si>
  <si>
    <t>Bernardin 19</t>
  </si>
  <si>
    <t>J-B claude Robin artiste peintre</t>
  </si>
  <si>
    <t>8-6-1818</t>
  </si>
  <si>
    <t>Bacot</t>
  </si>
  <si>
    <t>Fabricant de couvertures</t>
  </si>
  <si>
    <t>St victor 67</t>
  </si>
  <si>
    <t>Vf Francoise Louise Justine Couzay</t>
  </si>
  <si>
    <t>2-2-1818</t>
  </si>
  <si>
    <t>Boucherie 49</t>
  </si>
  <si>
    <t>Bauquair</t>
  </si>
  <si>
    <t>Md Macon</t>
  </si>
  <si>
    <t>Orleans St Marcel 14</t>
  </si>
  <si>
    <t>Marie Marguerite Muet</t>
  </si>
  <si>
    <t>29-7-1818</t>
  </si>
  <si>
    <t>Bazille</t>
  </si>
  <si>
    <t>Bonnaventure</t>
  </si>
  <si>
    <t>Bonnefoy</t>
  </si>
  <si>
    <t>marguerite</t>
  </si>
  <si>
    <t>3 portes</t>
  </si>
  <si>
    <t>4 vents</t>
  </si>
  <si>
    <t>fe garde</t>
  </si>
  <si>
    <t>ve albouy charbonnier</t>
  </si>
  <si>
    <t>Bonnet</t>
  </si>
  <si>
    <t>Fiacre</t>
  </si>
  <si>
    <t>Vincennes</t>
  </si>
  <si>
    <t>6-5-1817</t>
  </si>
  <si>
    <t>Bos</t>
  </si>
  <si>
    <t>Boueton</t>
  </si>
  <si>
    <t>Marie claude</t>
  </si>
  <si>
    <t>ouvriere linge</t>
  </si>
  <si>
    <t>Fer a moulin</t>
  </si>
  <si>
    <t>Copeau</t>
  </si>
  <si>
    <t>15-11-1817</t>
  </si>
  <si>
    <t>Boul</t>
  </si>
  <si>
    <t>Alyon</t>
  </si>
  <si>
    <t>pierre Philippe</t>
  </si>
  <si>
    <t>off de sante</t>
  </si>
  <si>
    <t>De bourbon</t>
  </si>
  <si>
    <t>4-9-1817</t>
  </si>
  <si>
    <t>Angelucey</t>
  </si>
  <si>
    <t>Ango</t>
  </si>
  <si>
    <t>Anne Barbe</t>
  </si>
  <si>
    <t>Phelipeau</t>
  </si>
  <si>
    <t>Fb St victore</t>
  </si>
  <si>
    <t>Arn</t>
  </si>
  <si>
    <t>Arv</t>
  </si>
  <si>
    <t>Asselin</t>
  </si>
  <si>
    <t>Jean Richard</t>
  </si>
  <si>
    <t>MT St Genevieve</t>
  </si>
  <si>
    <t>16-9-1817</t>
  </si>
  <si>
    <t>18-2-1820</t>
  </si>
  <si>
    <t>albouys</t>
  </si>
  <si>
    <t>Charbonnier</t>
  </si>
  <si>
    <t>ale</t>
  </si>
  <si>
    <t>Alhumbert</t>
  </si>
  <si>
    <t>antoine Joseph</t>
  </si>
  <si>
    <t>fosse st bernard</t>
  </si>
  <si>
    <t>8-7-1817</t>
  </si>
  <si>
    <t>adl</t>
  </si>
  <si>
    <t>Bizouard</t>
  </si>
  <si>
    <t>ma Belieu</t>
  </si>
  <si>
    <t>bla</t>
  </si>
  <si>
    <t>ma niscard</t>
  </si>
  <si>
    <t>jeanne</t>
  </si>
  <si>
    <t>ma thoridenet</t>
  </si>
  <si>
    <t>bli</t>
  </si>
  <si>
    <t>marie marguerite</t>
  </si>
  <si>
    <t>ma dante</t>
  </si>
  <si>
    <t>blo</t>
  </si>
  <si>
    <t>Julie Denise</t>
  </si>
  <si>
    <t>ma lanier</t>
  </si>
  <si>
    <t>Blondeau</t>
  </si>
  <si>
    <t>Jerusalem</t>
  </si>
  <si>
    <t>ma leblanc</t>
  </si>
  <si>
    <t>6-8-1827</t>
  </si>
  <si>
    <t>Blondel</t>
  </si>
  <si>
    <t>Jeanne Francise</t>
  </si>
  <si>
    <t>la clef</t>
  </si>
  <si>
    <t>ve lionnet</t>
  </si>
  <si>
    <t>niece</t>
  </si>
  <si>
    <t>bod</t>
  </si>
  <si>
    <t>ve roi</t>
  </si>
  <si>
    <t>Boissy</t>
  </si>
  <si>
    <t>Marie Nicole</t>
  </si>
  <si>
    <t>Ivry</t>
  </si>
  <si>
    <t>ma Bouillette</t>
  </si>
  <si>
    <t>25-7-1817</t>
  </si>
  <si>
    <t>domestique</t>
  </si>
  <si>
    <t>Aub</t>
  </si>
  <si>
    <t>Audige</t>
  </si>
  <si>
    <t>Rosset</t>
  </si>
  <si>
    <t>Dye</t>
  </si>
  <si>
    <t>18-12-1817</t>
  </si>
  <si>
    <t>Auffroy</t>
  </si>
  <si>
    <t>Francois Vincent</t>
  </si>
  <si>
    <t>md frippier</t>
  </si>
  <si>
    <t>Tonnnelerie</t>
  </si>
  <si>
    <t>20-8-1817</t>
  </si>
  <si>
    <t>ma cotard</t>
  </si>
  <si>
    <t>Ava</t>
  </si>
  <si>
    <t>Auz</t>
  </si>
  <si>
    <t>Babin</t>
  </si>
  <si>
    <t>Vaugirard 5</t>
  </si>
  <si>
    <t>11-10-1817</t>
  </si>
  <si>
    <t>Baco</t>
  </si>
  <si>
    <t>Bacquier</t>
  </si>
  <si>
    <t>Graveur</t>
  </si>
  <si>
    <t>Ste anne</t>
  </si>
  <si>
    <t>ma Privez</t>
  </si>
  <si>
    <t>Baduel</t>
  </si>
  <si>
    <t>ve et fille</t>
  </si>
  <si>
    <t>23-8-1817</t>
  </si>
  <si>
    <t>Hersent</t>
  </si>
  <si>
    <t>Marie Anne Catherine</t>
  </si>
  <si>
    <t>St jacques 112</t>
  </si>
  <si>
    <t>Jean Gatien Hoquet</t>
  </si>
  <si>
    <t>1 Hoquiet</t>
  </si>
  <si>
    <t>17-12-1817</t>
  </si>
  <si>
    <t>Fleurus</t>
  </si>
  <si>
    <t>Houdard</t>
  </si>
  <si>
    <t>Louis edme</t>
  </si>
  <si>
    <t>Vaugirard</t>
  </si>
  <si>
    <t>Hubert</t>
  </si>
  <si>
    <t>Jeanne Josephe</t>
  </si>
  <si>
    <t>Phillipeville</t>
  </si>
  <si>
    <t>Joret</t>
  </si>
  <si>
    <t>10-3-1820</t>
  </si>
  <si>
    <t>Gd Augustin 26</t>
  </si>
  <si>
    <t>Quai L'horloge 71</t>
  </si>
  <si>
    <t>Hueber</t>
  </si>
  <si>
    <t>Joseph Ignace Isidore</t>
  </si>
  <si>
    <t>Fab de Couleurs</t>
  </si>
  <si>
    <t>Vf Adelaine Marguerite Faron Pouilly</t>
  </si>
  <si>
    <t>fils et etrangers</t>
  </si>
  <si>
    <t>10-5-1817</t>
  </si>
  <si>
    <t>Huguier</t>
  </si>
  <si>
    <t>Antoine Pierre louis</t>
  </si>
  <si>
    <t>x subdelegue a l'intendance d'alsace</t>
  </si>
  <si>
    <t>Cassette 8</t>
  </si>
  <si>
    <t>Barbe Henriette Lallemant</t>
  </si>
  <si>
    <t>Ve et fils et autres</t>
  </si>
  <si>
    <t>M st andre des arts 77</t>
  </si>
  <si>
    <t>st andre des arts 77</t>
  </si>
  <si>
    <t>Hure</t>
  </si>
  <si>
    <t>Eleonore Sophie</t>
  </si>
  <si>
    <t>Cotard Pierre Ambroise md boucher</t>
  </si>
  <si>
    <t>5-9-1821</t>
  </si>
  <si>
    <t>Jourdain</t>
  </si>
  <si>
    <t>Marie marguerite</t>
  </si>
  <si>
    <t>Mde vin</t>
  </si>
  <si>
    <t>HERB</t>
  </si>
  <si>
    <t>Ecrivains</t>
  </si>
  <si>
    <t>Claire Francoise</t>
  </si>
  <si>
    <t>ma J-Fr Marie Fournier</t>
  </si>
  <si>
    <t>HERM</t>
  </si>
  <si>
    <t>HERO</t>
  </si>
  <si>
    <t>HERP</t>
  </si>
  <si>
    <t>HEU</t>
  </si>
  <si>
    <t>MA</t>
  </si>
  <si>
    <t>HOS</t>
  </si>
  <si>
    <t>HOU</t>
  </si>
  <si>
    <t>VF</t>
  </si>
  <si>
    <t>HUA</t>
  </si>
  <si>
    <t>HUE</t>
  </si>
  <si>
    <t>HUI</t>
  </si>
  <si>
    <t>HUR</t>
  </si>
  <si>
    <t>VE</t>
  </si>
  <si>
    <t>JAC</t>
  </si>
  <si>
    <t>JAM</t>
  </si>
  <si>
    <t>JAN</t>
  </si>
  <si>
    <t>JAU</t>
  </si>
  <si>
    <t>JEA</t>
  </si>
  <si>
    <t>JEG</t>
  </si>
  <si>
    <t>JOL</t>
  </si>
  <si>
    <t>JOS</t>
  </si>
  <si>
    <t>JOU</t>
  </si>
  <si>
    <t>ENF MIN</t>
  </si>
  <si>
    <t>JUD</t>
  </si>
  <si>
    <t>KOC</t>
  </si>
  <si>
    <t>KRA</t>
  </si>
  <si>
    <t>CEL</t>
  </si>
  <si>
    <t>LAV</t>
  </si>
  <si>
    <t>LAY</t>
  </si>
  <si>
    <t>LEBL</t>
  </si>
  <si>
    <t>MIN</t>
  </si>
  <si>
    <t>CELIB MIN</t>
  </si>
  <si>
    <t>LEBR</t>
  </si>
  <si>
    <t>MERE</t>
  </si>
  <si>
    <t>LECH</t>
  </si>
  <si>
    <t>DIV</t>
  </si>
  <si>
    <t>LECL</t>
  </si>
  <si>
    <t>LECE</t>
  </si>
  <si>
    <t>LECO</t>
  </si>
  <si>
    <t>LED</t>
  </si>
  <si>
    <t>CAR</t>
  </si>
  <si>
    <t>CAS</t>
  </si>
  <si>
    <t>CAU</t>
  </si>
  <si>
    <t>CHA</t>
  </si>
  <si>
    <t>MARI</t>
  </si>
  <si>
    <t>Francois</t>
  </si>
  <si>
    <t>Jean Baptiste Camille</t>
  </si>
  <si>
    <t>13-10-1818</t>
  </si>
  <si>
    <t>6-3-1818</t>
  </si>
  <si>
    <t>Soeur</t>
  </si>
  <si>
    <t>Chauvin</t>
  </si>
  <si>
    <t>Combe</t>
  </si>
  <si>
    <t>Benoit</t>
  </si>
  <si>
    <t>14-8-1817</t>
  </si>
  <si>
    <t>Louis Francois</t>
  </si>
  <si>
    <t>23-4-1818</t>
  </si>
  <si>
    <t>17-1-1818</t>
  </si>
  <si>
    <t>11-2-1818</t>
  </si>
  <si>
    <t>Desmoulin</t>
  </si>
  <si>
    <t>Anne Antoinette</t>
  </si>
  <si>
    <t>Jean Baptiste Claude gratien</t>
  </si>
  <si>
    <t>Md Tuilles et ardoises</t>
  </si>
  <si>
    <t>Q tournelles 40</t>
  </si>
  <si>
    <t>Lyon</t>
  </si>
  <si>
    <t>petite fille min</t>
  </si>
  <si>
    <t>Q augustin 55</t>
  </si>
  <si>
    <t>Ve mocat</t>
  </si>
  <si>
    <t>collat</t>
  </si>
  <si>
    <t>mere</t>
  </si>
  <si>
    <t>Saumon</t>
  </si>
  <si>
    <t>Marie Louise joseph</t>
  </si>
  <si>
    <t>Nve ste etienne 33</t>
  </si>
  <si>
    <t>colat</t>
  </si>
  <si>
    <t>19-4-1817</t>
  </si>
  <si>
    <t>Anne Virginie</t>
  </si>
  <si>
    <t>min</t>
  </si>
  <si>
    <t>labbe Andre Pierre peintre bat</t>
  </si>
  <si>
    <t>1/4 foin 13</t>
  </si>
  <si>
    <t>Royer</t>
  </si>
  <si>
    <t>Pierre rene</t>
  </si>
  <si>
    <t xml:space="preserve">fils </t>
  </si>
  <si>
    <t>Jeanne Francoise</t>
  </si>
  <si>
    <t>Amand</t>
  </si>
  <si>
    <t>Marie Claire Antoinette</t>
  </si>
  <si>
    <t>Tourainne 6</t>
  </si>
  <si>
    <t>Theyle Jean jacques</t>
  </si>
  <si>
    <t>Fille et LP</t>
  </si>
  <si>
    <t>5-12-1820</t>
  </si>
  <si>
    <t>19-12-1820</t>
  </si>
  <si>
    <t>Versailles</t>
  </si>
  <si>
    <t>militaire</t>
  </si>
  <si>
    <t>Roussel</t>
  </si>
  <si>
    <t>17-11-1817</t>
  </si>
  <si>
    <t>Marie Michelle</t>
  </si>
  <si>
    <t>CARMANTRAND de la PARRE</t>
  </si>
  <si>
    <t>Les Doubières, cne de Najeard (Cantal)</t>
  </si>
  <si>
    <t>Carmantrand de la Jarre, prêtre (collatéral)</t>
  </si>
  <si>
    <t>1-8-1817</t>
  </si>
  <si>
    <t>Louise Catherine</t>
  </si>
  <si>
    <t>quai de Béthune, 2</t>
  </si>
  <si>
    <t>un parent quai d'Anjou, 19</t>
  </si>
  <si>
    <t>de CANCLAUX</t>
  </si>
  <si>
    <t>comte</t>
  </si>
  <si>
    <t>r Neuve St Paul, xx</t>
  </si>
  <si>
    <t>GIRARD</t>
  </si>
  <si>
    <t>Elizabeth Françoise</t>
  </si>
  <si>
    <t>r St Jacques, 268</t>
  </si>
  <si>
    <t>ve GOURNAY</t>
  </si>
  <si>
    <t>2 parents (enf ?), ts 2 rentiers à Lyon</t>
  </si>
  <si>
    <t>17-6-1817</t>
  </si>
  <si>
    <t>GEULLUY</t>
  </si>
  <si>
    <t>Louis François Benoit</t>
  </si>
  <si>
    <t>md de vin</t>
  </si>
  <si>
    <t>r de la Bûcherie, 3</t>
  </si>
  <si>
    <t>M (ou veuf…)</t>
  </si>
  <si>
    <t>sa fille mineure</t>
  </si>
  <si>
    <t>GILBERT</t>
  </si>
  <si>
    <t>Marie Françoise Angélique</t>
  </si>
  <si>
    <t>r des Anglais, 6 (12° arr)</t>
  </si>
  <si>
    <t>ép. ARNOUX, Claude, maçon</t>
  </si>
  <si>
    <t>son mari+ sa fille (à Bourges)</t>
  </si>
  <si>
    <t>19-6-1817</t>
  </si>
  <si>
    <t>filles 2</t>
  </si>
  <si>
    <t>ve</t>
  </si>
  <si>
    <t>Louise</t>
  </si>
  <si>
    <t>enfants</t>
  </si>
  <si>
    <t>Decorbie</t>
  </si>
  <si>
    <t>Charles Laurent</t>
  </si>
  <si>
    <t>3-1-1818</t>
  </si>
  <si>
    <t>14-4-1818</t>
  </si>
  <si>
    <t>Marquis</t>
  </si>
  <si>
    <t>Neveu</t>
  </si>
  <si>
    <t>Marie Jeanne</t>
  </si>
  <si>
    <t>5-9-1817</t>
  </si>
  <si>
    <t>Charles</t>
  </si>
  <si>
    <t>Hacquet</t>
  </si>
  <si>
    <t>rentiere</t>
  </si>
  <si>
    <t>St genevive 7</t>
  </si>
  <si>
    <t>Ve Jean Etienne Bien</t>
  </si>
  <si>
    <t>Haranguer</t>
  </si>
  <si>
    <t>Anne Francoise</t>
  </si>
  <si>
    <t>St victor 137</t>
  </si>
  <si>
    <t>Jean Pilliot</t>
  </si>
  <si>
    <t>Mari et 2her</t>
  </si>
  <si>
    <t>St victor 137 et 139 et terrain</t>
  </si>
  <si>
    <t>Henry</t>
  </si>
  <si>
    <t>Alexandre Pierre</t>
  </si>
  <si>
    <t>x administrateur</t>
  </si>
  <si>
    <t>Chabannais 6</t>
  </si>
  <si>
    <t>Herbin</t>
  </si>
  <si>
    <t>Louis Francois Alexandre</t>
  </si>
  <si>
    <t>Pharmacien</t>
  </si>
  <si>
    <t>Harpe 33</t>
  </si>
  <si>
    <t>1 herbin</t>
  </si>
  <si>
    <t>Boulangers st Victors 3</t>
  </si>
  <si>
    <t>Cambrai 8</t>
  </si>
  <si>
    <t>Jauvel Marie Barbe</t>
  </si>
  <si>
    <t>ve et autres</t>
  </si>
  <si>
    <t>19-7-1817</t>
  </si>
  <si>
    <t>M cambrai 8 et 10</t>
  </si>
  <si>
    <t>des 7 voies 23</t>
  </si>
  <si>
    <t>Thibault desbois</t>
  </si>
  <si>
    <t>X avocat</t>
  </si>
  <si>
    <t>Thibault 1</t>
  </si>
  <si>
    <t>Valdin</t>
  </si>
  <si>
    <t>Marie francoise Nicole</t>
  </si>
  <si>
    <t>D'orleans St Marcel 16</t>
  </si>
  <si>
    <t>Ve Jean Philippe Hubert</t>
  </si>
  <si>
    <t>Hubert 1</t>
  </si>
  <si>
    <t>Vautrin</t>
  </si>
  <si>
    <t>Claude jacques</t>
  </si>
  <si>
    <t>x avocat chev st lo</t>
  </si>
  <si>
    <t>St andre des arts 57</t>
  </si>
  <si>
    <t>LPNP</t>
  </si>
  <si>
    <t>28-5-1817</t>
  </si>
  <si>
    <t>Mahler charles salomon</t>
  </si>
  <si>
    <t>Mari usu pere freres souer</t>
  </si>
  <si>
    <t>1/8 M st martin</t>
  </si>
  <si>
    <t>Verrier</t>
  </si>
  <si>
    <t>Raymond jean</t>
  </si>
  <si>
    <t>Popincouirt 50</t>
  </si>
  <si>
    <t>Coulon Marie Madeleine</t>
  </si>
  <si>
    <t>Neveu a tours et ve</t>
  </si>
  <si>
    <t>1/2 Popincourt 50</t>
  </si>
  <si>
    <t>Viet</t>
  </si>
  <si>
    <t>Fb st antoine 183</t>
  </si>
  <si>
    <t>J-P hardy</t>
  </si>
  <si>
    <t>1/2 m St antoine 183. 1/2 M juif 20</t>
  </si>
  <si>
    <t>Vigoureux</t>
  </si>
  <si>
    <t>Jeanne Marie</t>
  </si>
  <si>
    <t>Mde bois des isle</t>
  </si>
  <si>
    <t>Fb st antoine 63</t>
  </si>
  <si>
    <t>Vd Desbarelle joseph</t>
  </si>
  <si>
    <t>Grendre 1 meme demeure</t>
  </si>
  <si>
    <t>4-1-1818</t>
  </si>
  <si>
    <t xml:space="preserve">3 Maison  ensembles </t>
  </si>
  <si>
    <t>St martin 76</t>
  </si>
  <si>
    <t>vf Prudence boucklin</t>
  </si>
  <si>
    <t>fille et petit fils 1</t>
  </si>
  <si>
    <t>1/2 M charenton et jhard</t>
  </si>
  <si>
    <t>Vitry</t>
  </si>
  <si>
    <t>Montreuil 99</t>
  </si>
  <si>
    <t>Cottin Marie Madeleine</t>
  </si>
  <si>
    <t>Monteuil 99</t>
  </si>
  <si>
    <t>DESCHAMPS</t>
  </si>
  <si>
    <t>1/4 de 5/7 boutique palais royal</t>
  </si>
  <si>
    <t>Four 79</t>
  </si>
  <si>
    <t>Daugeard</t>
  </si>
  <si>
    <t>Cassette 34</t>
  </si>
  <si>
    <t>Ve emmanuel Boyer</t>
  </si>
  <si>
    <t>29-7-1827</t>
  </si>
  <si>
    <t>Anne Jeanne</t>
  </si>
  <si>
    <t>Leblond</t>
  </si>
  <si>
    <t>3-9-1817</t>
  </si>
  <si>
    <t>1 daugeard</t>
  </si>
  <si>
    <t>Perou 24</t>
  </si>
  <si>
    <t>D'ardais de Montamy</t>
  </si>
  <si>
    <t xml:space="preserve">Louis Philippe </t>
  </si>
  <si>
    <t>Chev de St Louis Cap de fregats</t>
  </si>
  <si>
    <t>Montamy Calvados</t>
  </si>
  <si>
    <t>Danjan</t>
  </si>
  <si>
    <t>1/12/1817</t>
  </si>
  <si>
    <t>Pl Maubert 5</t>
  </si>
  <si>
    <t>Cloitre St Benoit, St jacques 147</t>
  </si>
  <si>
    <t>Denis alexandre Nicolas</t>
  </si>
  <si>
    <t>conde 26</t>
  </si>
  <si>
    <t>Donjon</t>
  </si>
  <si>
    <t>Gaspard</t>
  </si>
  <si>
    <t>Comte Chev St louis et Leg Hon</t>
  </si>
  <si>
    <t>Cassette 20</t>
  </si>
  <si>
    <t>D'oms Henriette</t>
  </si>
  <si>
    <t>Ve et Fils</t>
  </si>
  <si>
    <t>17-5-1817</t>
  </si>
  <si>
    <t>M serpent 16</t>
  </si>
  <si>
    <t>x magistrat</t>
  </si>
  <si>
    <t>Serpetn 16</t>
  </si>
  <si>
    <t>9-1-1818</t>
  </si>
  <si>
    <t>De Chavignac</t>
  </si>
  <si>
    <t>Marie Josephj Isaac</t>
  </si>
  <si>
    <t>Lottle 18</t>
  </si>
  <si>
    <t>Coulon pretre</t>
  </si>
  <si>
    <t>5-5-1818</t>
  </si>
  <si>
    <t>M St jacques 56</t>
  </si>
  <si>
    <t>De hansy</t>
  </si>
  <si>
    <t>Marie Anne Victoire</t>
  </si>
  <si>
    <t>Mignon 7b</t>
  </si>
  <si>
    <t>delastre</t>
  </si>
  <si>
    <t>18-6-1817</t>
  </si>
  <si>
    <t>2m Mignon 7 et 7b</t>
  </si>
  <si>
    <t>Catherine</t>
  </si>
  <si>
    <t>Jeanne Gabrielle</t>
  </si>
  <si>
    <t>Observatoire 6</t>
  </si>
  <si>
    <t>Ve Fr henri Benoist</t>
  </si>
  <si>
    <t>8-1-1818</t>
  </si>
  <si>
    <t>Foulee</t>
  </si>
  <si>
    <t>Francoise Jeanne</t>
  </si>
  <si>
    <t>X chaudroniere</t>
  </si>
  <si>
    <t>Foin 11</t>
  </si>
  <si>
    <t>Ve daminois</t>
  </si>
  <si>
    <t>Huchette 33</t>
  </si>
  <si>
    <t>Fournier</t>
  </si>
  <si>
    <t>quatres vents 6</t>
  </si>
  <si>
    <t>mineur</t>
  </si>
  <si>
    <t>Nancy</t>
  </si>
  <si>
    <t>Marguerite</t>
  </si>
  <si>
    <t>M q orfevres 12</t>
  </si>
  <si>
    <t>Burger</t>
  </si>
  <si>
    <t>Annne</t>
  </si>
  <si>
    <t>Pave Feuillantines 1</t>
  </si>
  <si>
    <t>Fonteneau Duchesne Louis Charles Michel</t>
  </si>
  <si>
    <t>Mouffetard 3</t>
  </si>
  <si>
    <t xml:space="preserve">Chambert </t>
  </si>
  <si>
    <t>Adealide Marie Francoise</t>
  </si>
  <si>
    <t>Pavee Vaudee 3</t>
  </si>
  <si>
    <t>Joubert Louis Guillaume</t>
  </si>
  <si>
    <t>Epoux et fille</t>
  </si>
  <si>
    <t>24-2-1818</t>
  </si>
  <si>
    <t>M Montparnasse 23</t>
  </si>
  <si>
    <t>M Clef 5 Orleasn 16 Oursine 32</t>
  </si>
  <si>
    <t>Clochet</t>
  </si>
  <si>
    <t>Marie catherine</t>
  </si>
  <si>
    <t>Clef 5</t>
  </si>
  <si>
    <t>Ve Lequartier</t>
  </si>
  <si>
    <t>1 lequartier</t>
  </si>
  <si>
    <t>16-10-17</t>
  </si>
  <si>
    <t>Combault de Dampont</t>
  </si>
  <si>
    <t>Helene Julie</t>
  </si>
  <si>
    <t>Odeon 28</t>
  </si>
  <si>
    <t>Fe Dutrambley</t>
  </si>
  <si>
    <t>1 dutrambley</t>
  </si>
  <si>
    <t>6-10-1817</t>
  </si>
  <si>
    <t>St jean de beauvais 11</t>
  </si>
  <si>
    <t>MARC</t>
  </si>
  <si>
    <t>MARE</t>
  </si>
  <si>
    <t>MARG</t>
  </si>
  <si>
    <t>GENTILLY</t>
  </si>
  <si>
    <t>MARL</t>
  </si>
  <si>
    <t>MARO</t>
  </si>
  <si>
    <t>MARS</t>
  </si>
  <si>
    <t>MART</t>
  </si>
  <si>
    <t>MAS</t>
  </si>
  <si>
    <t>MAT</t>
  </si>
  <si>
    <t>MAU</t>
  </si>
  <si>
    <t>Marie Rose</t>
  </si>
  <si>
    <t>MEN</t>
  </si>
  <si>
    <t>MER</t>
  </si>
  <si>
    <t>MES</t>
  </si>
  <si>
    <t>MEU</t>
  </si>
  <si>
    <t>MICH</t>
  </si>
  <si>
    <t>MIG</t>
  </si>
  <si>
    <t>MIL</t>
  </si>
  <si>
    <t>MOD</t>
  </si>
  <si>
    <t>MOI</t>
  </si>
  <si>
    <t>MOL</t>
  </si>
  <si>
    <t>MON</t>
  </si>
  <si>
    <t>BOURGES</t>
  </si>
  <si>
    <t>MONN</t>
  </si>
  <si>
    <t>VERSAILLES</t>
  </si>
  <si>
    <t>HOTEL DIEU</t>
  </si>
  <si>
    <t>BERTH</t>
  </si>
  <si>
    <t>FILLE</t>
  </si>
  <si>
    <t>COUT</t>
  </si>
  <si>
    <t>ENFS MIN 2</t>
  </si>
  <si>
    <t>COLI</t>
  </si>
  <si>
    <t>CARR</t>
  </si>
  <si>
    <t>DELE</t>
  </si>
  <si>
    <t>DUL</t>
  </si>
  <si>
    <t>DESP</t>
  </si>
  <si>
    <t>DUCH</t>
  </si>
  <si>
    <t>DOI</t>
  </si>
  <si>
    <t>DELAU</t>
  </si>
  <si>
    <t>DUPO</t>
  </si>
  <si>
    <t>DOY</t>
  </si>
  <si>
    <t>DESA</t>
  </si>
  <si>
    <t>DRU</t>
  </si>
  <si>
    <t>FREMONT</t>
  </si>
  <si>
    <t>NEVEUX</t>
  </si>
  <si>
    <t>CHART</t>
  </si>
  <si>
    <t>CAP</t>
  </si>
  <si>
    <t>CHAN</t>
  </si>
  <si>
    <t>COI</t>
  </si>
  <si>
    <t>DUBE</t>
  </si>
  <si>
    <t>DELAP</t>
  </si>
  <si>
    <t>DELR</t>
  </si>
  <si>
    <t>DH</t>
  </si>
  <si>
    <t>DELARUE</t>
  </si>
  <si>
    <t>DESM</t>
  </si>
  <si>
    <t>DUBO</t>
  </si>
  <si>
    <t>DURA</t>
  </si>
  <si>
    <t>DUN</t>
  </si>
  <si>
    <t>DELAB</t>
  </si>
  <si>
    <t>DESB</t>
  </si>
  <si>
    <t>DIE</t>
  </si>
  <si>
    <t>DUCL</t>
  </si>
  <si>
    <t>DID</t>
  </si>
  <si>
    <t>DREUX</t>
  </si>
  <si>
    <t>DURI</t>
  </si>
  <si>
    <t>DEH</t>
  </si>
  <si>
    <t>DELAF</t>
  </si>
  <si>
    <t>DUCR</t>
  </si>
  <si>
    <t>DET</t>
  </si>
  <si>
    <t>DELAR</t>
  </si>
  <si>
    <t>EN</t>
  </si>
  <si>
    <t>ES</t>
  </si>
  <si>
    <t>FOUC</t>
  </si>
  <si>
    <t>FEU</t>
  </si>
  <si>
    <t>FAL</t>
  </si>
  <si>
    <t>FEN</t>
  </si>
  <si>
    <t>GAY</t>
  </si>
  <si>
    <t>GARI</t>
  </si>
  <si>
    <t>GALL</t>
  </si>
  <si>
    <t>BELLEVILLE</t>
  </si>
  <si>
    <t>GUILLA</t>
  </si>
  <si>
    <t>GEL</t>
  </si>
  <si>
    <t>GAI</t>
  </si>
  <si>
    <t>GRU</t>
  </si>
  <si>
    <t>HAM</t>
  </si>
  <si>
    <t>JACQUES</t>
  </si>
  <si>
    <t>LAR</t>
  </si>
  <si>
    <t>LEFE</t>
  </si>
  <si>
    <t>LIA</t>
  </si>
  <si>
    <t>LEV</t>
  </si>
  <si>
    <t>MOS</t>
  </si>
  <si>
    <t>MORL</t>
  </si>
  <si>
    <t>CHARLES AUGUSTE</t>
  </si>
  <si>
    <t>MUL</t>
  </si>
  <si>
    <t>MIC</t>
  </si>
  <si>
    <t>Etienne Louis</t>
  </si>
  <si>
    <t>ve+fils</t>
  </si>
  <si>
    <t>Jean Antoine</t>
  </si>
  <si>
    <t>Leblanc d'equilly</t>
  </si>
  <si>
    <t>De Seine 6</t>
  </si>
  <si>
    <t>Dijon cote d'or</t>
  </si>
  <si>
    <t>Letrade</t>
  </si>
  <si>
    <t>3-7-1818</t>
  </si>
  <si>
    <t>Md Vin</t>
  </si>
  <si>
    <t>Beaune 21</t>
  </si>
  <si>
    <t>Fasse</t>
  </si>
  <si>
    <t>NA/ CEL</t>
  </si>
  <si>
    <t>1/2 M ter trois courcelles</t>
  </si>
  <si>
    <t>1/2 M Maison et er Sabloniere des invalines ave de Jape</t>
  </si>
  <si>
    <t>Lejeune</t>
  </si>
  <si>
    <t>md de laine</t>
  </si>
  <si>
    <t>MAISON VENDUE Four st germain</t>
  </si>
  <si>
    <t>q augustins 55</t>
  </si>
  <si>
    <t>Ve necare</t>
  </si>
  <si>
    <t>Blv Babylone</t>
  </si>
  <si>
    <t>Lherbesse</t>
  </si>
  <si>
    <t>Honnorine Marie</t>
  </si>
  <si>
    <t>q Malaquai 5</t>
  </si>
  <si>
    <t>Trutot</t>
  </si>
  <si>
    <t>Fille + depuiis</t>
  </si>
  <si>
    <t>10-2-1819</t>
  </si>
  <si>
    <t>1/3 Brodeuse 2</t>
  </si>
  <si>
    <t>LORET</t>
  </si>
  <si>
    <t>MARAIS 24</t>
  </si>
  <si>
    <t>4.5.1818</t>
  </si>
  <si>
    <t>15.9.1818</t>
  </si>
  <si>
    <t>LUR</t>
  </si>
  <si>
    <t>Mahieu</t>
  </si>
  <si>
    <t>Argenteuil</t>
  </si>
  <si>
    <t>argenteuill</t>
  </si>
  <si>
    <t>fille et fils</t>
  </si>
  <si>
    <t>31-1-1818</t>
  </si>
  <si>
    <t>Tarrene 3</t>
  </si>
  <si>
    <t>1/2 M st dominique 2</t>
  </si>
  <si>
    <t xml:space="preserve">MART </t>
  </si>
  <si>
    <t>Louer de Cabriolets</t>
  </si>
  <si>
    <t>st dominique 21</t>
  </si>
  <si>
    <t>Grossot</t>
  </si>
  <si>
    <t xml:space="preserve"> M st dominique 2</t>
  </si>
  <si>
    <t>MARV</t>
  </si>
  <si>
    <t xml:space="preserve">MAT </t>
  </si>
  <si>
    <t>Matz</t>
  </si>
  <si>
    <t>17-8-1820</t>
  </si>
  <si>
    <t>1/2 M Tarane 3</t>
  </si>
  <si>
    <t>Milieu des jardin 2</t>
  </si>
  <si>
    <t>Collas</t>
  </si>
  <si>
    <t>mari et enfants 2</t>
  </si>
  <si>
    <t>1/2 m Fever 11</t>
  </si>
  <si>
    <t xml:space="preserve">MORE </t>
  </si>
  <si>
    <t>MORILLON</t>
  </si>
  <si>
    <t>BAC 19</t>
  </si>
  <si>
    <t>31.12.1819</t>
  </si>
  <si>
    <t>1/2 Mazarine 76</t>
  </si>
  <si>
    <t>1/2 RUE REGRETIER EN ISLE ST LOUIS</t>
  </si>
  <si>
    <t>MOUR</t>
  </si>
  <si>
    <t>Mousnier</t>
  </si>
  <si>
    <t>St antoine 158</t>
  </si>
  <si>
    <t>M LECANUT</t>
  </si>
  <si>
    <t>PAS</t>
  </si>
  <si>
    <t>Paultre</t>
  </si>
  <si>
    <t>Marguerite Victoire</t>
  </si>
  <si>
    <t>Sevres 16</t>
  </si>
  <si>
    <t>Ve Vallier</t>
  </si>
  <si>
    <t>18-3-1819</t>
  </si>
  <si>
    <t xml:space="preserve">PAU </t>
  </si>
  <si>
    <t xml:space="preserve">PIC </t>
  </si>
  <si>
    <t>Picard</t>
  </si>
  <si>
    <t>Louise Virginie</t>
  </si>
  <si>
    <t>Mineure</t>
  </si>
  <si>
    <t>Monceaux St Germain 5</t>
  </si>
  <si>
    <t>7-9-1818</t>
  </si>
  <si>
    <t>1/P M Monceaux St Germain 5</t>
  </si>
  <si>
    <t>Pommier</t>
  </si>
  <si>
    <t>Temple 29</t>
  </si>
  <si>
    <t>5-1-1818</t>
  </si>
  <si>
    <t>Deux portes ilse st louis 13</t>
  </si>
  <si>
    <t>PRI</t>
  </si>
  <si>
    <t>Quarre de Chelers</t>
  </si>
  <si>
    <t>Claudine Charlotte Therese</t>
  </si>
  <si>
    <t>Bac 42</t>
  </si>
  <si>
    <t>St jean de Luz</t>
  </si>
  <si>
    <t>frere et soeurs 4</t>
  </si>
  <si>
    <t>REMA</t>
  </si>
  <si>
    <t>RENOUARD</t>
  </si>
  <si>
    <t>religieux de la charité</t>
  </si>
  <si>
    <t>Hospice des ménages (quid,,,)</t>
  </si>
  <si>
    <t>ses frères</t>
  </si>
  <si>
    <t>RICC</t>
  </si>
  <si>
    <t>RICHAR</t>
  </si>
  <si>
    <t>Jean Philippe</t>
  </si>
  <si>
    <t>r Charlot, 18 (6°)</t>
  </si>
  <si>
    <t>veuf</t>
  </si>
  <si>
    <t>1/4 à X à Amiens+1/4 à y et 1/4 à z+1/16 à 3 enf+1/48 à 3 enfs,,</t>
  </si>
  <si>
    <t>enclos de la ci-devant abbaye, Passages des Boucheries, 5</t>
  </si>
  <si>
    <t>1/2 m r de la Mortellerie, 17</t>
  </si>
  <si>
    <t>Ronflette</t>
  </si>
  <si>
    <t>Eugène Joseph</t>
  </si>
  <si>
    <t>pâtissier</t>
  </si>
  <si>
    <t>r de Grenelle, 2</t>
  </si>
  <si>
    <t>ép. Doux</t>
  </si>
  <si>
    <t>27-6-1818</t>
  </si>
  <si>
    <t>ROUI</t>
  </si>
  <si>
    <t>ROUV</t>
  </si>
  <si>
    <t>Saget</t>
  </si>
  <si>
    <t>Marie Jeanne André</t>
  </si>
  <si>
    <t>r Dareine, 24</t>
  </si>
  <si>
    <t>ép. Delorme</t>
  </si>
  <si>
    <t>20-4-1818</t>
  </si>
  <si>
    <t>1/2 m r St Dominique, 24</t>
  </si>
  <si>
    <t>Sohier</t>
  </si>
  <si>
    <t>Renaud</t>
  </si>
  <si>
    <t>cloitre ND</t>
  </si>
  <si>
    <t>m cloitre ND</t>
  </si>
  <si>
    <t>TAI</t>
  </si>
  <si>
    <t>THOMAIN</t>
  </si>
  <si>
    <t>r des prêtres, 30</t>
  </si>
  <si>
    <t>ép, FARCY</t>
  </si>
  <si>
    <t>27-11-1818</t>
  </si>
  <si>
    <t>Antoine Denis</t>
  </si>
  <si>
    <t>Londres</t>
  </si>
  <si>
    <t xml:space="preserve">sa mère+x illisible décédée depuis </t>
  </si>
  <si>
    <t>2-6-1823</t>
  </si>
  <si>
    <t>r de la Mortellerie, 23</t>
  </si>
  <si>
    <t>Tourton</t>
  </si>
  <si>
    <t>Marie Adélaide</t>
  </si>
  <si>
    <t>r d'Angoulème, 6</t>
  </si>
  <si>
    <t>ép. Millet, Pierre Victor Marie Denis</t>
  </si>
  <si>
    <t>1/2 M r de Taranne (Varenne), 4 et St Benoit, zz</t>
  </si>
  <si>
    <t>TOT</t>
  </si>
  <si>
    <t>R DES LIONS 8</t>
  </si>
  <si>
    <t>TUV</t>
  </si>
  <si>
    <t xml:space="preserve">VAU </t>
  </si>
  <si>
    <t>Vaufrouard</t>
  </si>
  <si>
    <t>Jeanne Félicité</t>
  </si>
  <si>
    <t>r St Guillaume, 11</t>
  </si>
  <si>
    <t>ép. Vuitry</t>
  </si>
  <si>
    <t>16-12-1817</t>
  </si>
  <si>
    <t>12-1-1819</t>
  </si>
  <si>
    <t>26-7-1819</t>
  </si>
  <si>
    <t>28-7-1819</t>
  </si>
  <si>
    <t>Verneaux</t>
  </si>
  <si>
    <t>François Aubin</t>
  </si>
  <si>
    <t>marchand épicier</t>
  </si>
  <si>
    <t>r Taranne (zz), 5</t>
  </si>
  <si>
    <t>28-2-1818</t>
  </si>
  <si>
    <t>1/4 m rue Bourbon, 13</t>
  </si>
  <si>
    <t>4-3-1818</t>
  </si>
  <si>
    <t>Vigier</t>
  </si>
  <si>
    <t>ppt des Bains</t>
  </si>
  <si>
    <t>quai Voltaire, 1 et 21</t>
  </si>
  <si>
    <t>1 enf naturel</t>
  </si>
  <si>
    <t>2 m quai Voltaire, 1 et 21</t>
  </si>
  <si>
    <t>Vitel</t>
  </si>
  <si>
    <t>Francois Jacques</t>
  </si>
  <si>
    <t>St mery 7</t>
  </si>
  <si>
    <t>mere soeurs 2</t>
  </si>
  <si>
    <t>6-7-1817</t>
  </si>
  <si>
    <t>1/5 r de BAUNE (Beaune), 31</t>
  </si>
  <si>
    <t>Abraham de la carriere</t>
  </si>
  <si>
    <t>Caire 7</t>
  </si>
  <si>
    <t>Niece et fille nat</t>
  </si>
  <si>
    <t>21-7-1817</t>
  </si>
  <si>
    <t>16-11-1818</t>
  </si>
  <si>
    <t>25-2-1819</t>
  </si>
  <si>
    <t>Adam</t>
  </si>
  <si>
    <t>Louis Andre</t>
  </si>
  <si>
    <t>Courtier de commerce</t>
  </si>
  <si>
    <t>Meslee 12</t>
  </si>
  <si>
    <t>LP+ 2 adam</t>
  </si>
  <si>
    <t>3-6-1818</t>
  </si>
  <si>
    <t>Allain</t>
  </si>
  <si>
    <t>ve Herville</t>
  </si>
  <si>
    <t>Jeanne Michele</t>
  </si>
  <si>
    <t>St honore 73</t>
  </si>
  <si>
    <t>St denis 178</t>
  </si>
  <si>
    <t>Alombert</t>
  </si>
  <si>
    <t>Barthelemye D</t>
  </si>
  <si>
    <t>Gravilliers 30</t>
  </si>
  <si>
    <t>ve et 3enfants</t>
  </si>
  <si>
    <t>25-4-1818</t>
  </si>
  <si>
    <t>3 m Gravillier 30, 32 33 et 1 m Culdesac 3</t>
  </si>
  <si>
    <t>24-2-1821</t>
  </si>
  <si>
    <t>Trainevache 7</t>
  </si>
  <si>
    <t>ADD</t>
  </si>
  <si>
    <t>ALL</t>
  </si>
  <si>
    <t>11 - 2 - 1817</t>
  </si>
  <si>
    <t>ANG</t>
  </si>
  <si>
    <t>ANS</t>
  </si>
  <si>
    <t>HOP ST LOUIS</t>
  </si>
  <si>
    <t>Bachelay</t>
  </si>
  <si>
    <t>Vignier Marie Jeanne Theodore</t>
  </si>
  <si>
    <t>Julien Bernard</t>
  </si>
  <si>
    <t>xxlin 5</t>
  </si>
  <si>
    <t>Petit careau 30</t>
  </si>
  <si>
    <t>BAH</t>
  </si>
  <si>
    <t>BAP</t>
  </si>
  <si>
    <t>13-5-1817</t>
  </si>
  <si>
    <t>Bardoux</t>
  </si>
  <si>
    <t>Ve fourbet</t>
  </si>
  <si>
    <t>Veronique</t>
  </si>
  <si>
    <t>St maur 130</t>
  </si>
  <si>
    <t>Enfants 2</t>
  </si>
  <si>
    <t>17-10-1817</t>
  </si>
  <si>
    <t>St maur 128, 130</t>
  </si>
  <si>
    <t>Barre</t>
  </si>
  <si>
    <t>Louis Nicolas</t>
  </si>
  <si>
    <t>Bondy 48</t>
  </si>
  <si>
    <t>Lpnp  et lemoine 2 et dulac 1</t>
  </si>
  <si>
    <t>Bondy 49</t>
  </si>
  <si>
    <t>baudon</t>
  </si>
  <si>
    <t>augustin</t>
  </si>
  <si>
    <t>peintre en decors et prop</t>
  </si>
  <si>
    <t>fb temple 131</t>
  </si>
  <si>
    <t>7-11-1817</t>
  </si>
  <si>
    <t>Fb temple 131</t>
  </si>
  <si>
    <t>12-3-1817</t>
  </si>
  <si>
    <t>14-1-1817</t>
  </si>
  <si>
    <t>BERD</t>
  </si>
  <si>
    <t>Berenger</t>
  </si>
  <si>
    <t>Framoin 8</t>
  </si>
  <si>
    <t>pere et soeur</t>
  </si>
  <si>
    <t>24-12-1817</t>
  </si>
  <si>
    <t>Bereux</t>
  </si>
  <si>
    <t>Denis Marie Marguerite</t>
  </si>
  <si>
    <t>St germ lauxerois</t>
  </si>
  <si>
    <t>filles</t>
  </si>
  <si>
    <t>Ours 16</t>
  </si>
  <si>
    <t>FB ST ANTOINE</t>
  </si>
  <si>
    <t>Temple 71 et 73</t>
  </si>
  <si>
    <t>BERTHEREAU</t>
  </si>
  <si>
    <t>président honoraire de xx</t>
  </si>
  <si>
    <t>r Petit Lieu St Sauveur, 19</t>
  </si>
  <si>
    <t>10 apparemment ss liens fam</t>
  </si>
  <si>
    <t>25-2-1818</t>
  </si>
  <si>
    <t>BERTI</t>
  </si>
  <si>
    <t>1/P M Bretagne 42</t>
  </si>
  <si>
    <t>BEUGNOT</t>
  </si>
  <si>
    <t>ép. GAUDY Savinien</t>
  </si>
  <si>
    <t>fg St Martin, 10</t>
  </si>
  <si>
    <t>son mari pr préciput + ses 4 enf</t>
  </si>
  <si>
    <t>22-9-1817</t>
  </si>
  <si>
    <t>Beure</t>
  </si>
  <si>
    <t>Charoin Jules Marc</t>
  </si>
  <si>
    <t>Anne Adele</t>
  </si>
  <si>
    <t>lancry 13</t>
  </si>
  <si>
    <t>Mari et fille 1</t>
  </si>
  <si>
    <t>1/2M</t>
  </si>
  <si>
    <t>BIM</t>
  </si>
  <si>
    <t>BLE</t>
  </si>
  <si>
    <t>Bocheaud</t>
  </si>
  <si>
    <t>Ve Toussain feliot 2me noce</t>
  </si>
  <si>
    <t>marie Jeanne</t>
  </si>
  <si>
    <t>Meslay 24</t>
  </si>
  <si>
    <t>Fille adoptive et chicoilet</t>
  </si>
  <si>
    <t>20-5-1818</t>
  </si>
  <si>
    <t>9-7-1819</t>
  </si>
  <si>
    <t>1-3-1820</t>
  </si>
  <si>
    <t>Bontemps</t>
  </si>
  <si>
    <t>Edeme</t>
  </si>
  <si>
    <t>St sauveur 16</t>
  </si>
  <si>
    <t>Niece Bontemps et ses enfants</t>
  </si>
  <si>
    <t>18-2-1819</t>
  </si>
  <si>
    <t>Frapillon 18</t>
  </si>
  <si>
    <t>BOUG</t>
  </si>
  <si>
    <t>LE HAVRE</t>
  </si>
  <si>
    <t>Bourbaut</t>
  </si>
  <si>
    <t>Leterrier</t>
  </si>
  <si>
    <t>Laurence Marguerite</t>
  </si>
  <si>
    <t>Faitrie des Huitres</t>
  </si>
  <si>
    <t>Montorgueil 86</t>
  </si>
  <si>
    <t>Boussod</t>
  </si>
  <si>
    <t>vf Marie Elisabeth Flamand (+1808) Dechartigny Marie Elsiabeth</t>
  </si>
  <si>
    <t>Orfevre</t>
  </si>
  <si>
    <t>Villeneuve st Georges</t>
  </si>
  <si>
    <t>Femer et enfants du 1er mariage 3</t>
  </si>
  <si>
    <t>Meslee 30</t>
  </si>
  <si>
    <t>Ve martin Lagrenee</t>
  </si>
  <si>
    <t>Temple 36</t>
  </si>
  <si>
    <t>Lagrenee 1 et 3 Her</t>
  </si>
  <si>
    <t>Blvd temple 9-11-13-15</t>
  </si>
  <si>
    <t>BOUE</t>
  </si>
  <si>
    <t>BRIB</t>
  </si>
  <si>
    <t>HARDOUINVILLE OISE</t>
  </si>
  <si>
    <t>BRUS</t>
  </si>
  <si>
    <t>BUG</t>
  </si>
  <si>
    <t>Hop Beaujon</t>
  </si>
  <si>
    <t>M CUL DE SAC ST LOIUS</t>
  </si>
  <si>
    <t>BUL</t>
  </si>
  <si>
    <t>VR</t>
  </si>
  <si>
    <t>BUZ</t>
  </si>
  <si>
    <t>MERU</t>
  </si>
  <si>
    <t>cap</t>
  </si>
  <si>
    <t>12 - 3 - 1817</t>
  </si>
  <si>
    <t>Caleneuve</t>
  </si>
  <si>
    <t>Laforge X margureite</t>
  </si>
  <si>
    <t>Negociant</t>
  </si>
  <si>
    <t>Greneta 9</t>
  </si>
  <si>
    <t>Ve et fille 1</t>
  </si>
  <si>
    <t>26-1-1818</t>
  </si>
  <si>
    <t>5-10-1819</t>
  </si>
  <si>
    <t>16-2-1820</t>
  </si>
  <si>
    <t>CARA</t>
  </si>
  <si>
    <t>Caron</t>
  </si>
  <si>
    <t>Briant Marie Cath</t>
  </si>
  <si>
    <t>Fb st martin 97</t>
  </si>
  <si>
    <t>Caron 8</t>
  </si>
  <si>
    <t>M clery 97</t>
  </si>
  <si>
    <t>21-6-1817</t>
  </si>
  <si>
    <t>INDIGENT</t>
  </si>
  <si>
    <t>7-9-1817</t>
  </si>
  <si>
    <t>Chandhomme</t>
  </si>
  <si>
    <t>Ve Pierre J-B Blette</t>
  </si>
  <si>
    <t>Adelaide Catherine</t>
  </si>
  <si>
    <t>Charlot 17</t>
  </si>
  <si>
    <t>Chanhommes, Carions, Blettes</t>
  </si>
  <si>
    <t>Gouttier marie louise melanie</t>
  </si>
  <si>
    <t>Gervais francois</t>
  </si>
  <si>
    <t>md tapissier</t>
  </si>
  <si>
    <t>lamminerie 35</t>
  </si>
  <si>
    <t>fe et enfants 4</t>
  </si>
  <si>
    <t>3-10-1817</t>
  </si>
  <si>
    <t>St jacque boucherie 38</t>
  </si>
  <si>
    <t>Fb st martin 194</t>
  </si>
  <si>
    <t>Chauvin 2 foulon 3 delimal 2 lecompte 2</t>
  </si>
  <si>
    <t>13-1-1818</t>
  </si>
  <si>
    <t>Fb st martin 194 et mottes 19</t>
  </si>
  <si>
    <t>CHES</t>
  </si>
  <si>
    <t>Chopay</t>
  </si>
  <si>
    <t>Reunel de Nicolas francois Balthazard comte</t>
  </si>
  <si>
    <t>comtesse</t>
  </si>
  <si>
    <t>Vendome 10</t>
  </si>
  <si>
    <t>mari et 1 her</t>
  </si>
  <si>
    <t>21-8-1827</t>
  </si>
  <si>
    <t>CHR</t>
  </si>
  <si>
    <t>Vinaigiere x et ter vague ch de pantin</t>
  </si>
  <si>
    <t>Claudel</t>
  </si>
  <si>
    <t>Mitroux barbe</t>
  </si>
  <si>
    <t>Md paultier</t>
  </si>
  <si>
    <t>Vielle monaie 8-6</t>
  </si>
  <si>
    <t>fe leg et 3enf</t>
  </si>
  <si>
    <t>24-12-1819</t>
  </si>
  <si>
    <t>Cheret</t>
  </si>
  <si>
    <t>Ve deschamps michel</t>
  </si>
  <si>
    <t>fb St honore 18</t>
  </si>
  <si>
    <t>Phelipeaux 37</t>
  </si>
  <si>
    <t>COLS</t>
  </si>
  <si>
    <t>Corne de cerf</t>
  </si>
  <si>
    <t>selez marie francoise</t>
  </si>
  <si>
    <t>Fb st denis 8</t>
  </si>
  <si>
    <t>enfants,petits enfants et ve</t>
  </si>
  <si>
    <t xml:space="preserve">1 M st denis 8 +1/2 M 182 et 1/2 nve st etiene </t>
  </si>
  <si>
    <t>Cornet</t>
  </si>
  <si>
    <t>Rochechouart 18</t>
  </si>
  <si>
    <t>Vf Cavillier anne +dep 20a</t>
  </si>
  <si>
    <t>Niece leg</t>
  </si>
  <si>
    <t>ALO</t>
  </si>
  <si>
    <t>ARREITER</t>
  </si>
  <si>
    <t>Louis Felix Stephane</t>
  </si>
  <si>
    <t>fils de carrossier</t>
  </si>
  <si>
    <t>bleue 38</t>
  </si>
  <si>
    <t>Enfant de Jean Jacque armeiter carrossier et Marie Genevieve Bernard</t>
  </si>
  <si>
    <t>Soeur 1/3 et pere et Jacq leon payen et victoire payen</t>
  </si>
  <si>
    <t>28-7-1818</t>
  </si>
  <si>
    <t>em et terrains montmartre</t>
  </si>
  <si>
    <t xml:space="preserve">ART </t>
  </si>
  <si>
    <t>ARTOISE</t>
  </si>
  <si>
    <t>Jeanne Françoise</t>
  </si>
  <si>
    <t>fruitière</t>
  </si>
  <si>
    <t>r de la Corderie, 5 (2° arr)</t>
  </si>
  <si>
    <t>ép. ROSSIGNOL Pierre Antoine fruitier</t>
  </si>
  <si>
    <t>mari lég univ</t>
  </si>
  <si>
    <t>M touraine 3</t>
  </si>
  <si>
    <t>Aulagnier</t>
  </si>
  <si>
    <t>Paule Claudine</t>
  </si>
  <si>
    <t>St anne 18</t>
  </si>
  <si>
    <t>Joseph Fulchiron x banquier</t>
  </si>
  <si>
    <t>Fulchiron 2</t>
  </si>
  <si>
    <t>1-7-1817</t>
  </si>
  <si>
    <t>Auvry</t>
  </si>
  <si>
    <t>Eugene</t>
  </si>
  <si>
    <t>Dreux</t>
  </si>
  <si>
    <t xml:space="preserve">Versailles </t>
  </si>
  <si>
    <t>pere frere et soeur</t>
  </si>
  <si>
    <t>5-2-1820</t>
  </si>
  <si>
    <t>Artois 12</t>
  </si>
  <si>
    <t xml:space="preserve">MA </t>
  </si>
  <si>
    <t>AY</t>
  </si>
  <si>
    <t>Baguenault</t>
  </si>
  <si>
    <t>Banquier</t>
  </si>
  <si>
    <t>Bd Poissoniere 17</t>
  </si>
  <si>
    <t>Antoinette gabrielle victoire Rousseau</t>
  </si>
  <si>
    <t>ve et filles mineures 2 pour 3/4</t>
  </si>
  <si>
    <t>M Nve st augustin</t>
  </si>
  <si>
    <t>Serrurier</t>
  </si>
  <si>
    <t>Genevieve Laurence mil</t>
  </si>
  <si>
    <t>fils 1 mineur</t>
  </si>
  <si>
    <t>13-12-1819</t>
  </si>
  <si>
    <t>M chantereine 36 et bld italiens 24</t>
  </si>
  <si>
    <t>Therese adelaide</t>
  </si>
  <si>
    <t>Concierge</t>
  </si>
  <si>
    <t>Cul de sac d'argenteuil 12</t>
  </si>
  <si>
    <t>Francois Noel Voitelier</t>
  </si>
  <si>
    <t>enfants 5?</t>
  </si>
  <si>
    <t>Bailleux</t>
  </si>
  <si>
    <t>St lazare 75</t>
  </si>
  <si>
    <t>Lemercier Madelaine gabrielle</t>
  </si>
  <si>
    <t>21-3-1818</t>
  </si>
  <si>
    <t xml:space="preserve">BAN </t>
  </si>
  <si>
    <t>Bannefroy</t>
  </si>
  <si>
    <t>Chaussee d'antin 66</t>
  </si>
  <si>
    <t>Louis Jean Baptiste Robert Md Tailleur</t>
  </si>
  <si>
    <t>23-2-1818</t>
  </si>
  <si>
    <t>M grammont 22</t>
  </si>
  <si>
    <t xml:space="preserve">CHAP </t>
  </si>
  <si>
    <t xml:space="preserve">CHAU </t>
  </si>
  <si>
    <t>Chaussegras</t>
  </si>
  <si>
    <t>Filles st thomas 12</t>
  </si>
  <si>
    <t>vf Catherine Victoire Aubry epx Marie Marg Bouteux</t>
  </si>
  <si>
    <t>11-3-18181</t>
  </si>
  <si>
    <t>M Colonnes 5</t>
  </si>
  <si>
    <t>Chevalier</t>
  </si>
  <si>
    <t>Antoinette Sophie</t>
  </si>
  <si>
    <t>Ventadour 4</t>
  </si>
  <si>
    <t>Moulin Jean Louis</t>
  </si>
  <si>
    <t>Enfrants 3 et Mari 1.4 prop</t>
  </si>
  <si>
    <t>3m Ventadour 4, richelieu 16 Echelle 7</t>
  </si>
  <si>
    <t>Chevailer</t>
  </si>
  <si>
    <t>Marie Charlote</t>
  </si>
  <si>
    <t>Batailles 8</t>
  </si>
  <si>
    <t>Chevalier jean baptiste</t>
  </si>
  <si>
    <t>fils et petite fille</t>
  </si>
  <si>
    <t>Nve capucines 3, Batailles 8</t>
  </si>
  <si>
    <t>Chobert</t>
  </si>
  <si>
    <t>propr</t>
  </si>
  <si>
    <t>Gaillon 5</t>
  </si>
  <si>
    <t>Ve J Fr Michel X cons chatelet de paris</t>
  </si>
  <si>
    <t>Fiils 1</t>
  </si>
  <si>
    <t>Choiseul Gouffier</t>
  </si>
  <si>
    <t>Marie Gabriel Florent Auguste</t>
  </si>
  <si>
    <t>Comte Pair de France</t>
  </si>
  <si>
    <t>R mathurin 66</t>
  </si>
  <si>
    <t>Vf Gonffier ep de Helene de Bauthemont</t>
  </si>
  <si>
    <t>Aix la chapelle</t>
  </si>
  <si>
    <t>M 16 st augustin 43, Choiseul, Paviullon Marbaut, Bat r Chaillot 78</t>
  </si>
  <si>
    <t>Choiseul Meuse</t>
  </si>
  <si>
    <t>Anne Justine elisabeth Josephine</t>
  </si>
  <si>
    <t>Pierre Marie de Suffren Marquis de St Tropez Pair de France</t>
  </si>
  <si>
    <t>30-9-1818</t>
  </si>
  <si>
    <t>Codant</t>
  </si>
  <si>
    <t>Anne Nicole</t>
  </si>
  <si>
    <t>Babylone 19</t>
  </si>
  <si>
    <t>ve Augustin eutrope Junin (1) fe de Pierre Louis Cousin (2) prop</t>
  </si>
  <si>
    <t>Mari 1/3 1 junin 1/3 et 1 cousin 1/3</t>
  </si>
  <si>
    <t>12-7-1817</t>
  </si>
  <si>
    <t>M R madelaine 15</t>
  </si>
  <si>
    <t>R Argenteuil 12</t>
  </si>
  <si>
    <t>DIV+VE</t>
  </si>
  <si>
    <t>2p de terre</t>
  </si>
  <si>
    <t>Corazza</t>
  </si>
  <si>
    <t>Luc Charles Josepjh</t>
  </si>
  <si>
    <t>Palais royal 9</t>
  </si>
  <si>
    <t>vf Jeanne Josephe Carolet</t>
  </si>
  <si>
    <t>Fils et petit fils</t>
  </si>
  <si>
    <t>4-10-1817</t>
  </si>
  <si>
    <t>4 m conmst arcades du palais royal 9,10,11,12</t>
  </si>
  <si>
    <t>Eulalie Elizabeth</t>
  </si>
  <si>
    <t>Nve Luxembourg 19</t>
  </si>
  <si>
    <t>Garry fr alphonse fb st hon 12 prop+W412</t>
  </si>
  <si>
    <t>fille min mari 1/2 usu</t>
  </si>
  <si>
    <t>26-9-1820</t>
  </si>
  <si>
    <t>Corran</t>
  </si>
  <si>
    <t>Patrice</t>
  </si>
  <si>
    <t>Blvd Montmartre 10</t>
  </si>
  <si>
    <t>m beauregard 46 et Petut xxx 5</t>
  </si>
  <si>
    <t>BEG</t>
  </si>
  <si>
    <t>BEL</t>
  </si>
  <si>
    <t>BENOIST</t>
  </si>
  <si>
    <t>BIE</t>
  </si>
  <si>
    <t>BIR</t>
  </si>
  <si>
    <t>BIS</t>
  </si>
  <si>
    <t>Marie Alexandrine</t>
  </si>
  <si>
    <t>POC</t>
  </si>
  <si>
    <t>POI</t>
  </si>
  <si>
    <t>CAC</t>
  </si>
  <si>
    <t>CAN</t>
  </si>
  <si>
    <t>OL</t>
  </si>
  <si>
    <t>OR</t>
  </si>
  <si>
    <t>OS</t>
  </si>
  <si>
    <t>OU</t>
  </si>
  <si>
    <t>Hurepoix</t>
  </si>
  <si>
    <t>Ourry</t>
  </si>
  <si>
    <t>adelaide Louise</t>
  </si>
  <si>
    <t>La vilette</t>
  </si>
  <si>
    <t>ma Richomme Fr Louis Marie</t>
  </si>
  <si>
    <t>enfs 3</t>
  </si>
  <si>
    <t>la villette</t>
  </si>
  <si>
    <t>fille 1</t>
  </si>
  <si>
    <t>Paj</t>
  </si>
  <si>
    <t>PON</t>
  </si>
  <si>
    <t>POR</t>
  </si>
  <si>
    <t>POT</t>
  </si>
  <si>
    <t>POS</t>
  </si>
  <si>
    <t>POU</t>
  </si>
  <si>
    <t>PRE</t>
  </si>
  <si>
    <t>PRO</t>
  </si>
  <si>
    <t>PRU</t>
  </si>
  <si>
    <t>QUE</t>
  </si>
  <si>
    <t>QUI</t>
  </si>
  <si>
    <t>Q</t>
  </si>
  <si>
    <t>RAB</t>
  </si>
  <si>
    <t>RAC</t>
  </si>
  <si>
    <t>mère et Barbe Jacob (sœur?)</t>
  </si>
  <si>
    <t>r N St Medard,18</t>
  </si>
  <si>
    <t>Poirot</t>
  </si>
  <si>
    <t>Nicolas Adrien</t>
  </si>
  <si>
    <t>r des Anglais, 18</t>
  </si>
  <si>
    <t>SIB</t>
  </si>
  <si>
    <t>Torey</t>
  </si>
  <si>
    <t>SIM</t>
  </si>
  <si>
    <t>SIN</t>
  </si>
  <si>
    <t>SOL</t>
  </si>
  <si>
    <t>SOU</t>
  </si>
  <si>
    <t>Taret</t>
  </si>
  <si>
    <t>STE</t>
  </si>
  <si>
    <t>STO</t>
  </si>
  <si>
    <t>SUI</t>
  </si>
  <si>
    <t>Montaigne fb st honore</t>
  </si>
  <si>
    <t>SUL</t>
  </si>
  <si>
    <t>SUT</t>
  </si>
  <si>
    <t>U</t>
  </si>
  <si>
    <t>ULR</t>
  </si>
  <si>
    <t>VAC</t>
  </si>
  <si>
    <t>VALE</t>
  </si>
  <si>
    <t>VALL</t>
  </si>
  <si>
    <t>ABSENT</t>
  </si>
  <si>
    <t>VAN</t>
  </si>
  <si>
    <t>Girard</t>
  </si>
  <si>
    <t>VAR</t>
  </si>
  <si>
    <t>WAR</t>
  </si>
  <si>
    <t>VAS</t>
  </si>
  <si>
    <t>VAU</t>
  </si>
  <si>
    <t>VED</t>
  </si>
  <si>
    <t>VEL</t>
  </si>
  <si>
    <t>VEN</t>
  </si>
  <si>
    <t>SOT</t>
  </si>
  <si>
    <t>Alexandre</t>
  </si>
  <si>
    <t>Allevin</t>
  </si>
  <si>
    <t>j b Claude</t>
  </si>
  <si>
    <t>r de la Verrerie, 30</t>
  </si>
  <si>
    <t>14 - 6 - 1817</t>
  </si>
  <si>
    <t>r st andré des arts 76</t>
  </si>
  <si>
    <t>Allou</t>
  </si>
  <si>
    <t>936 ET 413</t>
  </si>
  <si>
    <t>937 ET 413</t>
  </si>
  <si>
    <t>robert</t>
  </si>
  <si>
    <t>r des jardins st paul, 17</t>
  </si>
  <si>
    <t>11 - 10 - 1817</t>
  </si>
  <si>
    <t>Arnoux</t>
  </si>
  <si>
    <t>francoise geneviève victoire</t>
  </si>
  <si>
    <t>R d'Enfer, 67</t>
  </si>
  <si>
    <t>938 ET 413</t>
  </si>
  <si>
    <t>943 ET 413</t>
  </si>
  <si>
    <t>r St Jacques, 99</t>
  </si>
  <si>
    <t>941 ET 413</t>
  </si>
  <si>
    <t>945 ET 413</t>
  </si>
  <si>
    <t>944 ET 413</t>
  </si>
  <si>
    <t>portions de 2 m r des Sept Voiees, 7</t>
  </si>
  <si>
    <t>940 ET 413</t>
  </si>
  <si>
    <t>942 ET 413</t>
  </si>
  <si>
    <t>939 ET 413</t>
  </si>
  <si>
    <t>27-5-1817</t>
  </si>
  <si>
    <t>r Buffon, 3+5</t>
  </si>
  <si>
    <t>946 ET 413</t>
  </si>
  <si>
    <t>8 - 12 - 1817</t>
  </si>
  <si>
    <t>Badou</t>
  </si>
  <si>
    <t>Bodin</t>
  </si>
  <si>
    <t>Laurent Ambroisse</t>
  </si>
  <si>
    <t>md harpentier</t>
  </si>
  <si>
    <t>19 - 6 - 1817</t>
  </si>
  <si>
    <t>portion de maison r Mouffetard, 246+r des Anglais, 12+r Mouffetard, 224+r des Gobelins, 16</t>
  </si>
  <si>
    <t>Bidault</t>
  </si>
  <si>
    <t>Gabriel Charles</t>
  </si>
  <si>
    <t>Ecuyer</t>
  </si>
  <si>
    <t>R d'Enfer, 20</t>
  </si>
  <si>
    <t>7 - 10 - 1817</t>
  </si>
  <si>
    <t>6 - 8- 1818</t>
  </si>
  <si>
    <t>949 ET 413</t>
  </si>
  <si>
    <t>M et terrain r Vaugirard, 43</t>
  </si>
  <si>
    <t>947 ET 413</t>
  </si>
  <si>
    <t>deContades</t>
  </si>
  <si>
    <t>Delabussiere</t>
  </si>
  <si>
    <t>963 ET 413</t>
  </si>
  <si>
    <t>3 - 10 1817</t>
  </si>
  <si>
    <t>964 ET 413</t>
  </si>
  <si>
    <t>prop, ancien md de vin</t>
  </si>
  <si>
    <t>r du Petit Lion, 14</t>
  </si>
  <si>
    <t>Gaudreaus</t>
  </si>
  <si>
    <t>Grandpierre</t>
  </si>
  <si>
    <t>965 ET 413</t>
  </si>
  <si>
    <t>r St Victor, 117</t>
  </si>
  <si>
    <t>966 ET 413</t>
  </si>
  <si>
    <t>967 ET 413</t>
  </si>
  <si>
    <t>968 ET 413</t>
  </si>
  <si>
    <t>Guichard</t>
  </si>
  <si>
    <t>1/2 M r de l'Oursine, 39</t>
  </si>
  <si>
    <t>969 ET 413</t>
  </si>
  <si>
    <t>BARBIER</t>
  </si>
  <si>
    <t>BOUR</t>
  </si>
  <si>
    <t>marie Madeleine</t>
  </si>
  <si>
    <t>VE+FE</t>
  </si>
  <si>
    <t>CARC</t>
  </si>
  <si>
    <t>VICTOIRE ROSALIE</t>
  </si>
  <si>
    <t>HAI</t>
  </si>
  <si>
    <t>MAB</t>
  </si>
  <si>
    <t>MILLET</t>
  </si>
  <si>
    <t xml:space="preserve">VF  </t>
  </si>
  <si>
    <t>VF+EP</t>
  </si>
  <si>
    <t>PLE</t>
  </si>
  <si>
    <t>PUL</t>
  </si>
  <si>
    <t>Tremblay</t>
  </si>
  <si>
    <t>neveux</t>
  </si>
  <si>
    <t>Ruffin</t>
  </si>
  <si>
    <t>fils min 1 et mari</t>
  </si>
  <si>
    <t>Armance Francoise Clavier</t>
  </si>
  <si>
    <t>St maur</t>
  </si>
  <si>
    <t>ve frere soeur</t>
  </si>
  <si>
    <t>Barat</t>
  </si>
  <si>
    <t>Louis Victor</t>
  </si>
  <si>
    <t>St honnore 333</t>
  </si>
  <si>
    <t>Francoise virginie Dupie</t>
  </si>
  <si>
    <t>Enfants mineurs 2</t>
  </si>
  <si>
    <t>Barillon</t>
  </si>
  <si>
    <t>Jean Joseph francois Alexandre</t>
  </si>
  <si>
    <t>Royale 7</t>
  </si>
  <si>
    <t>Francoise Marguerite Chassypoulet</t>
  </si>
  <si>
    <t>18-11-1817</t>
  </si>
  <si>
    <t>Beauvillier</t>
  </si>
  <si>
    <t>prop x restaurateur</t>
  </si>
  <si>
    <t>Richelieu 26</t>
  </si>
  <si>
    <t>Louise Francoise Josephe cuiny</t>
  </si>
  <si>
    <t>Ve + 1 beauvillier et 4 guerin</t>
  </si>
  <si>
    <t>24-7-12817</t>
  </si>
  <si>
    <t>M palais royal 140,141,142</t>
  </si>
  <si>
    <t>27-5-1818</t>
  </si>
  <si>
    <t xml:space="preserve">BEA </t>
  </si>
  <si>
    <t>Entrep</t>
  </si>
  <si>
    <t>Nve des champs 11</t>
  </si>
  <si>
    <t>Marie Marguerite josephe Letierce</t>
  </si>
  <si>
    <t>3enfants 3</t>
  </si>
  <si>
    <t>Colonnes 4</t>
  </si>
  <si>
    <t>Marguerite Antoinette</t>
  </si>
  <si>
    <t>r Montmartre, 165</t>
  </si>
  <si>
    <t>divorcée de HUPAIS, Charles François, banquier</t>
  </si>
  <si>
    <t>son fils, Alexandre Bertrand HUPAIS, r Chantereine, 52</t>
  </si>
  <si>
    <t>BERL</t>
  </si>
  <si>
    <t>BERTRAND-KERANGUEN</t>
  </si>
  <si>
    <t>r Ferme des Mathurins, 9 (1° arr)</t>
  </si>
  <si>
    <t>ép. Baron de LA CROSSE, Jean Raymond, contre amiral</t>
  </si>
  <si>
    <t>son fils Bertrand Théobald Joseph de LA CROSSE</t>
  </si>
  <si>
    <t>Bethisy</t>
  </si>
  <si>
    <t>Eveque d'uzes</t>
  </si>
  <si>
    <t>7-4-1818</t>
  </si>
  <si>
    <t>BEVILLE</t>
  </si>
  <si>
    <t>MONTHILON 26</t>
  </si>
  <si>
    <t>7/7/1817</t>
  </si>
  <si>
    <t>Bigot</t>
  </si>
  <si>
    <t>Boulangere</t>
  </si>
  <si>
    <t>Martyr 17</t>
  </si>
  <si>
    <t>jacques Fouloneau bouilanger</t>
  </si>
  <si>
    <t>Mari et enfants 4</t>
  </si>
  <si>
    <t>29-10-1817</t>
  </si>
  <si>
    <t>Martyr 17 et Richelieu 94 (1/4 mais corr deja effectue)</t>
  </si>
  <si>
    <t xml:space="preserve">BIG </t>
  </si>
  <si>
    <t>M Croix Boissiere 3, terrains, M 4 croix boissiere</t>
  </si>
  <si>
    <t>BIX</t>
  </si>
  <si>
    <t xml:space="preserve">BOI </t>
  </si>
  <si>
    <t>Ivry sur seine</t>
  </si>
  <si>
    <t>Charles antoine Bouillette x charpentier</t>
  </si>
  <si>
    <t>Mari usu 1/2 et enfants 3</t>
  </si>
  <si>
    <t>M Nve Bons enfants 33, 25</t>
  </si>
  <si>
    <t xml:space="preserve">BOL </t>
  </si>
  <si>
    <t>Boland dit Stephonaky</t>
  </si>
  <si>
    <t>Stephane alexandre</t>
  </si>
  <si>
    <t>Castiglione 56</t>
  </si>
  <si>
    <t>Ile de France</t>
  </si>
  <si>
    <t>Frere Constantinopl;e</t>
  </si>
  <si>
    <t>30-1-1828</t>
  </si>
  <si>
    <t>Bonnard</t>
  </si>
  <si>
    <t>Victoires 2</t>
  </si>
  <si>
    <t>Bertholet elizabeth julie</t>
  </si>
  <si>
    <t>M fb roule 71 et Pompe a chaillot 8</t>
  </si>
  <si>
    <t>Borreau de la Bernardiere</t>
  </si>
  <si>
    <t>Raymonde</t>
  </si>
  <si>
    <t>Chaussee d'antin</t>
  </si>
  <si>
    <t>Duplat de Monticourt Etienne Felix</t>
  </si>
  <si>
    <t>9-6-1817</t>
  </si>
  <si>
    <t xml:space="preserve">BOR </t>
  </si>
  <si>
    <t>Bougault</t>
  </si>
  <si>
    <t>mde toile</t>
  </si>
  <si>
    <t>ma level jean joseph</t>
  </si>
  <si>
    <t>A BATINOLE</t>
  </si>
  <si>
    <t>M et terrain rocher 31</t>
  </si>
  <si>
    <t>Braidy</t>
  </si>
  <si>
    <t>Md Carrossier</t>
  </si>
  <si>
    <t>Arcades 4</t>
  </si>
  <si>
    <t>Julienne Geoffroy</t>
  </si>
  <si>
    <t>Ve usu et p1/2 filles min 2 prop 1/2</t>
  </si>
  <si>
    <t>2-5-1818</t>
  </si>
  <si>
    <t>M Arcade4 et m 28-30 madelaine</t>
  </si>
  <si>
    <t>BUS</t>
  </si>
  <si>
    <t>Cambier</t>
  </si>
  <si>
    <t>Fb st honore 87</t>
  </si>
  <si>
    <t>Tarrayre Jean Joseph lieutenant general</t>
  </si>
  <si>
    <t>Cannet</t>
  </si>
  <si>
    <t>Henri Nicolas Firmin</t>
  </si>
  <si>
    <t>Fb poissoniere 12</t>
  </si>
  <si>
    <t>Vf Frechout Marie Charlotte</t>
  </si>
  <si>
    <t>5-11-1817</t>
  </si>
  <si>
    <t>CEN</t>
  </si>
  <si>
    <t>M Longchamps 30</t>
  </si>
  <si>
    <t>M Bouquet des champs 9</t>
  </si>
  <si>
    <t>Chagot de Fays</t>
  </si>
  <si>
    <t>Marie Bernard</t>
  </si>
  <si>
    <t>Membre du Conseil de Controle des Finances</t>
  </si>
  <si>
    <t>Feydeau 17</t>
  </si>
  <si>
    <t>Marie emilie Contat</t>
  </si>
  <si>
    <t>Fille mineure et ve</t>
  </si>
  <si>
    <t>26-5-1818</t>
  </si>
  <si>
    <t>M rue feydeau 17et magasin rue de Provence</t>
  </si>
  <si>
    <t>Chappee</t>
  </si>
  <si>
    <t>Adelaide Jacqueline</t>
  </si>
  <si>
    <t>Hazard 9</t>
  </si>
  <si>
    <t>DESH</t>
  </si>
  <si>
    <t>Delacour (c'est Lacour)</t>
  </si>
  <si>
    <t>Pigale 4</t>
  </si>
  <si>
    <t>Ve Hatte et de Francois Louis tesseidre</t>
  </si>
  <si>
    <t>enfants 2 (de Hatte)</t>
  </si>
  <si>
    <t>Debesse de la Richardie</t>
  </si>
  <si>
    <t>Vicomte</t>
  </si>
  <si>
    <t>Sourdiere 33</t>
  </si>
  <si>
    <t>Elizaberth Camille Seimandy</t>
  </si>
  <si>
    <t>9-12-1818</t>
  </si>
  <si>
    <t>Debierre</t>
  </si>
  <si>
    <t>A Barges</t>
  </si>
  <si>
    <t>Ve Noel Jean Michel Fouquet</t>
  </si>
  <si>
    <t>A Avesnes</t>
  </si>
  <si>
    <t>M ferme des mathurin 3</t>
  </si>
  <si>
    <t>Fb Roule 27</t>
  </si>
  <si>
    <t>Vf Anne Vincent Metivier et Jeannette Bertrand</t>
  </si>
  <si>
    <t>Nicolas Augustin</t>
  </si>
  <si>
    <t>Limonadier charcutier à Passy</t>
  </si>
  <si>
    <t>r de Chaillot, 17 (1° arr)</t>
  </si>
  <si>
    <t>vf en 1° noces de MARY, Geneviève, ép. FRIZON, Marie Jeanne Adrienne</t>
  </si>
  <si>
    <t>3 enf+ ve qui reçoit usu de 1/2</t>
  </si>
  <si>
    <t>M gd Rue Chaillot 41</t>
  </si>
  <si>
    <t>DELAD</t>
  </si>
  <si>
    <t>X magistrat</t>
  </si>
  <si>
    <t>Serpente 16</t>
  </si>
  <si>
    <t>vf Amelie Fauvin epx Louis Come</t>
  </si>
  <si>
    <t>Le Mans</t>
  </si>
  <si>
    <t>Fille 1 a nantes 3/4 et ve 1/4</t>
  </si>
  <si>
    <t>M Richelieu 30</t>
  </si>
  <si>
    <t>Louise Suzanne Marguerite</t>
  </si>
  <si>
    <t>Bons enfants</t>
  </si>
  <si>
    <t>Bligny jean Bapt Cesar X neg des Hosp Civils mort le 29-2-1824</t>
  </si>
  <si>
    <t>Mari et 2 fe delanoue et 4 fourniers</t>
  </si>
  <si>
    <t>41-1-1826</t>
  </si>
  <si>
    <t>De Garsanlan de Juile</t>
  </si>
  <si>
    <t>Augustin Toussain</t>
  </si>
  <si>
    <t>Chev St louis</t>
  </si>
  <si>
    <t>Grammont 14</t>
  </si>
  <si>
    <t>Collat</t>
  </si>
  <si>
    <t>De Jouffroy de Recipano</t>
  </si>
  <si>
    <t>Joseph Mathurin Aulide</t>
  </si>
  <si>
    <t>Michodiere 13</t>
  </si>
  <si>
    <t>Louis Francois Felix de Jouffroy lU</t>
  </si>
  <si>
    <t>DELAY</t>
  </si>
  <si>
    <t>Delfosse</t>
  </si>
  <si>
    <t>Josephe Barbe Ghislaine (our barbe margueritee)</t>
  </si>
  <si>
    <t>st Anne 42</t>
  </si>
  <si>
    <t>Tellier Jean Louis Coifeur</t>
  </si>
  <si>
    <t>Fils 1 etudiant en droit et 2 autres et mari</t>
  </si>
  <si>
    <t>9-3-1818</t>
  </si>
  <si>
    <t>M R st Anne 42</t>
  </si>
  <si>
    <t>Delabaume</t>
  </si>
  <si>
    <t>Pl Vendome 24</t>
  </si>
  <si>
    <t>Louis Gabrielle Victoire Valermand Morte le 10-4-1819</t>
  </si>
  <si>
    <t>4 enfants 3 renoncent et s'en tiennent a leur dot</t>
  </si>
  <si>
    <t>26-8-1817</t>
  </si>
  <si>
    <t>11-2-1820</t>
  </si>
  <si>
    <t>Delabardelalune</t>
  </si>
  <si>
    <t>Marie Gudule Hortense</t>
  </si>
  <si>
    <t>Taitbout 2</t>
  </si>
  <si>
    <t>Francois Xavier Tortoni Glacier Mort le 27-12-1818</t>
  </si>
  <si>
    <t>Fils 1 mineur et mari 1/2 usufruit</t>
  </si>
  <si>
    <t>14-5-1818</t>
  </si>
  <si>
    <t>M Boucheries st Honnore</t>
  </si>
  <si>
    <t>DELSAUX</t>
  </si>
  <si>
    <t>Marie Louise Adrienne</t>
  </si>
  <si>
    <t>Favart 8</t>
  </si>
  <si>
    <t>Ve Augustin louis Segoing Dangins</t>
  </si>
  <si>
    <t>a caen</t>
  </si>
  <si>
    <t>Demailly de Coislin</t>
  </si>
  <si>
    <t>Marianne Louise Melanie Adelaide</t>
  </si>
  <si>
    <t>Comtesse</t>
  </si>
  <si>
    <t>Pl Louis XV 4</t>
  </si>
  <si>
    <t>Ve Charles Germain Rene De Cambons de Coislin</t>
  </si>
  <si>
    <t>De mailly (2) et Duchesse Darenberg</t>
  </si>
  <si>
    <t>Demonti</t>
  </si>
  <si>
    <t>Marie Louise Flavie</t>
  </si>
  <si>
    <t>Lyon pre Villeneuve st georges</t>
  </si>
  <si>
    <t>Ve Dom Simon Urbain Deurbroucq Mort 29 ther an 12</t>
  </si>
  <si>
    <t xml:space="preserve">3nfants </t>
  </si>
  <si>
    <t>27-12-1817</t>
  </si>
  <si>
    <t>M St Thomas du Louvre 32 et Blanc Manteaux 3</t>
  </si>
  <si>
    <t xml:space="preserve">DEP </t>
  </si>
  <si>
    <t>Deparis</t>
  </si>
  <si>
    <t>Marie Louise Camille</t>
  </si>
  <si>
    <t>St anne 65</t>
  </si>
  <si>
    <t>celib min</t>
  </si>
  <si>
    <t>Pere 1/4 frere et soeur 3/4</t>
  </si>
  <si>
    <t xml:space="preserve">DESA </t>
  </si>
  <si>
    <t>de Sartrouville</t>
  </si>
  <si>
    <t>Arnould Antoine Mariel</t>
  </si>
  <si>
    <t>Nve des petits champs 99</t>
  </si>
  <si>
    <t>Div de Sophie Peres Duvivier ep de Marie Julie Jube</t>
  </si>
  <si>
    <t>enfants 4 et ve</t>
  </si>
  <si>
    <t>M St  Nicaise 5</t>
  </si>
  <si>
    <t>Desaignes</t>
  </si>
  <si>
    <t>Barthelemy Mare</t>
  </si>
  <si>
    <t>X dir des dom a Clermont Pensione</t>
  </si>
  <si>
    <t>Nve st Roch</t>
  </si>
  <si>
    <t>Desforges De Caulliere</t>
  </si>
  <si>
    <t>Claude Alexande Marie</t>
  </si>
  <si>
    <t>x lieut cavalerie</t>
  </si>
  <si>
    <t>Chabannais 3</t>
  </si>
  <si>
    <t>De pont de Rennepons Louis Charlotte Alexandrine comtesse</t>
  </si>
  <si>
    <t>ve usu fils 1/2, petit fils 1/2</t>
  </si>
  <si>
    <t>Deurbrouck</t>
  </si>
  <si>
    <t>Jules</t>
  </si>
  <si>
    <t>Bergere 7</t>
  </si>
  <si>
    <t>Freres 2</t>
  </si>
  <si>
    <t>Deveaux</t>
  </si>
  <si>
    <t>Marie Anne Michelle</t>
  </si>
  <si>
    <t>Barierre Piggale</t>
  </si>
  <si>
    <t>Pierre Philipot prop mort 22-3-20</t>
  </si>
  <si>
    <t>M Barierre Pigale Arcade 26 Fb  Montmartre 44</t>
  </si>
  <si>
    <t>DEX</t>
  </si>
  <si>
    <t>D'hermand</t>
  </si>
  <si>
    <t>Emmanuel Louis Joseph</t>
  </si>
  <si>
    <t>Insp des consulats de Commerce Externe aux affaires etrangeres</t>
  </si>
  <si>
    <t>11 passage zz</t>
  </si>
  <si>
    <t>18-34-1817</t>
  </si>
  <si>
    <t>marchand d'objets d'antiquité</t>
  </si>
  <si>
    <t>r St Roch, 22</t>
  </si>
  <si>
    <t>ép Grangé Marie Catherine</t>
  </si>
  <si>
    <t>3 enfants</t>
  </si>
  <si>
    <t>25-09-1817</t>
  </si>
  <si>
    <t>m r St Roch, 22</t>
  </si>
  <si>
    <t xml:space="preserve">DUBO </t>
  </si>
  <si>
    <t>ex juge de paix</t>
  </si>
  <si>
    <t>Cerny</t>
  </si>
  <si>
    <t>ép. Defoixfaury, Cécile Adélaide</t>
  </si>
  <si>
    <t>2 enfants</t>
  </si>
  <si>
    <t>m rue de la Popinière, 56</t>
  </si>
  <si>
    <t>Ferdinand Marie Antoine</t>
  </si>
  <si>
    <t>r Favart, 2</t>
  </si>
  <si>
    <t>veuf de Marie Jeanne Thérèse de Boulogne</t>
  </si>
  <si>
    <t>enf+légataire particulier</t>
  </si>
  <si>
    <t xml:space="preserve">DUCH </t>
  </si>
  <si>
    <t>ancien négociant</t>
  </si>
  <si>
    <t>r Pigalle, 18</t>
  </si>
  <si>
    <t>ép Aléxandrine Louise Jeanne THOMAS</t>
  </si>
  <si>
    <t>fille mineure+ve en usufruit</t>
  </si>
  <si>
    <t>m r Pigalle, 18</t>
  </si>
  <si>
    <t>10-12-1819</t>
  </si>
  <si>
    <t>Adele</t>
  </si>
  <si>
    <t>Bd Antin 22</t>
  </si>
  <si>
    <t>Bourret de Vezelay et lo prop</t>
  </si>
  <si>
    <t>fille 1 et mari 1/2 usu</t>
  </si>
  <si>
    <t>11-10-1820</t>
  </si>
  <si>
    <t>DUQ</t>
  </si>
  <si>
    <t>EO</t>
  </si>
  <si>
    <t>Fabre</t>
  </si>
  <si>
    <t>Cecile Francoise</t>
  </si>
  <si>
    <t>Capucinne 13</t>
  </si>
  <si>
    <t>Ve Joseph philibert Coulomb (mort le 6-4-1817)</t>
  </si>
  <si>
    <t>1-10-1818</t>
  </si>
  <si>
    <t>Fabre de Charrin</t>
  </si>
  <si>
    <t>Claudine Emile</t>
  </si>
  <si>
    <t>Troiseux oise</t>
  </si>
  <si>
    <t>Bourree de Corberon Daniel Jean Charles Marquis</t>
  </si>
  <si>
    <t>enfants 3 mari 1/4 don 1/4 usu</t>
  </si>
  <si>
    <t>Fagnan</t>
  </si>
  <si>
    <t>Celeste</t>
  </si>
  <si>
    <t>Nve Petits Champs 54</t>
  </si>
  <si>
    <t>Fe Lassisse Alexandre Gilber Clement medecin</t>
  </si>
  <si>
    <t>fils mineur 1 et mari 1/2 usu</t>
  </si>
  <si>
    <t>Menars 7</t>
  </si>
  <si>
    <t>Vf Marguerite Bertou dite Bertrand</t>
  </si>
  <si>
    <t>M r Menars 7 vendue 20-3-1818</t>
  </si>
  <si>
    <t>23-7-1818</t>
  </si>
  <si>
    <t>FED</t>
  </si>
  <si>
    <t>Culotier</t>
  </si>
  <si>
    <t>Palais royal 42</t>
  </si>
  <si>
    <t>Vf Anne Baudet ep de Marie Genevieve Louise Gillot</t>
  </si>
  <si>
    <t>enfants mineurs 3</t>
  </si>
  <si>
    <t>11-3-1818</t>
  </si>
  <si>
    <t>Folloppe</t>
  </si>
  <si>
    <t>Pierre Gilbert</t>
  </si>
  <si>
    <t>X pharmacien</t>
  </si>
  <si>
    <t>St Honore 381</t>
  </si>
  <si>
    <t>Frere 1/2 et enf naturels 2 /12</t>
  </si>
  <si>
    <t>M st Florentin 15 et F roule xx</t>
  </si>
  <si>
    <t>28-5-1818</t>
  </si>
  <si>
    <t>30-5-1818</t>
  </si>
  <si>
    <t>FOUB</t>
  </si>
  <si>
    <t>FOUCAULT</t>
  </si>
  <si>
    <t>Françoise Charlotte</t>
  </si>
  <si>
    <t>r du Moulin, 10 (2° arr)</t>
  </si>
  <si>
    <t>ép. CORNU, Jean Pierre, ppt</t>
  </si>
  <si>
    <t>son mari donataire en ppté</t>
  </si>
  <si>
    <t xml:space="preserve">FRA </t>
  </si>
  <si>
    <t>Viel</t>
  </si>
  <si>
    <t>Journaliere</t>
  </si>
  <si>
    <t>rueil</t>
  </si>
  <si>
    <t>hardy Jean francois</t>
  </si>
  <si>
    <t>Vilquin</t>
  </si>
  <si>
    <t>Jean Nicolas</t>
  </si>
  <si>
    <t>x proc roi</t>
  </si>
  <si>
    <t>St andre des arts 16</t>
  </si>
  <si>
    <t>3 cocher</t>
  </si>
  <si>
    <t>part</t>
  </si>
  <si>
    <t>Pierre francois</t>
  </si>
  <si>
    <t>Marie Louise</t>
  </si>
  <si>
    <t>20-5-1817</t>
  </si>
  <si>
    <t>enfants 4</t>
  </si>
  <si>
    <t>enfants 3</t>
  </si>
  <si>
    <t>1-4-1818</t>
  </si>
  <si>
    <t>7-8-1817</t>
  </si>
  <si>
    <t>fils 1</t>
  </si>
  <si>
    <t>Rumpler</t>
  </si>
  <si>
    <t>Frederique Eleonore Claudine</t>
  </si>
  <si>
    <t>Madame 17</t>
  </si>
  <si>
    <t>Marie Elizabeth</t>
  </si>
  <si>
    <t>5-6-1818</t>
  </si>
  <si>
    <t>n</t>
  </si>
  <si>
    <t>Lefevre</t>
  </si>
  <si>
    <t>Monique</t>
  </si>
  <si>
    <t>r de Condé, 5</t>
  </si>
  <si>
    <t>ve Delamotte</t>
  </si>
  <si>
    <t>Antoine Benjaùmin et Athanase Philioppe Delamotte (enf,,,)</t>
  </si>
  <si>
    <t>terrain et maison bd dsu Montparnasse</t>
  </si>
  <si>
    <t>Cherut</t>
  </si>
  <si>
    <t>boulanger</t>
  </si>
  <si>
    <t>ép. Moulinet, Michelle Henriette</t>
  </si>
  <si>
    <t>md boulanger</t>
  </si>
  <si>
    <t>Delam</t>
  </si>
  <si>
    <t>delan</t>
  </si>
  <si>
    <t>delap</t>
  </si>
  <si>
    <t>ma</t>
  </si>
  <si>
    <t>delau</t>
  </si>
  <si>
    <t>dele</t>
  </si>
  <si>
    <t>delh</t>
  </si>
  <si>
    <t>delle</t>
  </si>
  <si>
    <t>delo</t>
  </si>
  <si>
    <t>delv</t>
  </si>
  <si>
    <t>dem</t>
  </si>
  <si>
    <t>deb</t>
  </si>
  <si>
    <t>dec</t>
  </si>
  <si>
    <t>ded</t>
  </si>
  <si>
    <t>def</t>
  </si>
  <si>
    <t>Delab</t>
  </si>
  <si>
    <t>delac</t>
  </si>
  <si>
    <t>dou</t>
  </si>
  <si>
    <t>Drive</t>
  </si>
  <si>
    <t>Jean Gervais Protais</t>
  </si>
  <si>
    <t>entrep mac</t>
  </si>
  <si>
    <t>ste Croix bretonnerie</t>
  </si>
  <si>
    <t>Dro</t>
  </si>
  <si>
    <t>duba</t>
  </si>
  <si>
    <t>dubo</t>
  </si>
  <si>
    <t>dubr</t>
  </si>
  <si>
    <t>Duc</t>
  </si>
  <si>
    <t>Dev</t>
  </si>
  <si>
    <t>dh</t>
  </si>
  <si>
    <t>did</t>
  </si>
  <si>
    <t>die</t>
  </si>
  <si>
    <t>dio</t>
  </si>
  <si>
    <t>dis</t>
  </si>
  <si>
    <t>1 douchet</t>
  </si>
  <si>
    <t>Vf</t>
  </si>
  <si>
    <t>der</t>
  </si>
  <si>
    <t>desc</t>
  </si>
  <si>
    <t>dese</t>
  </si>
  <si>
    <t>desj</t>
  </si>
  <si>
    <t>desm</t>
  </si>
  <si>
    <t>Bricogne</t>
  </si>
  <si>
    <t>DESC</t>
  </si>
  <si>
    <t>DOM</t>
  </si>
  <si>
    <t>DUD</t>
  </si>
  <si>
    <t>DUH</t>
  </si>
  <si>
    <t>Mazarine 48</t>
  </si>
  <si>
    <t>Courtois Pelagie</t>
  </si>
  <si>
    <t>fils min 1</t>
  </si>
  <si>
    <t>Dumotiez</t>
  </si>
  <si>
    <t>Pierre Francois</t>
  </si>
  <si>
    <t>Ingenieur en instrument</t>
  </si>
  <si>
    <t>Copeau 31</t>
  </si>
  <si>
    <t>Ducreux :Louise Claudine</t>
  </si>
  <si>
    <t>fille 1 ve usu</t>
  </si>
  <si>
    <t>Falcoz de la blache d'harnoncourt</t>
  </si>
  <si>
    <t>jean</t>
  </si>
  <si>
    <t>conde 20</t>
  </si>
  <si>
    <t>Vf Catherine Leroy de Sannerville</t>
  </si>
  <si>
    <t>fille NM 1</t>
  </si>
  <si>
    <t>Francoise Therese Pauline</t>
  </si>
  <si>
    <t>Estienne larivierre</t>
  </si>
  <si>
    <t>28-8-1818</t>
  </si>
  <si>
    <t>M fosse st germain des pres 29</t>
  </si>
  <si>
    <t>Failly</t>
  </si>
  <si>
    <t>Fosse St marcel 31</t>
  </si>
  <si>
    <t>Failly procureur</t>
  </si>
  <si>
    <t>M Fossse st marcel 31 et M fosses st marcel 33</t>
  </si>
  <si>
    <t>poissy 2</t>
  </si>
  <si>
    <t>Forne</t>
  </si>
  <si>
    <t>3/4 Potier d'etain 38</t>
  </si>
  <si>
    <t>Ve et enfants</t>
  </si>
  <si>
    <t>30-12-1817</t>
  </si>
  <si>
    <t>Claude Jacques</t>
  </si>
  <si>
    <t>LERO</t>
  </si>
  <si>
    <t>ve Moncouteaux</t>
  </si>
  <si>
    <t>Moncouteaux Georges, marchand r du Parc Royale, 8</t>
  </si>
  <si>
    <t>30-09-1817</t>
  </si>
  <si>
    <t>1/2 Mouffetard 130-132</t>
  </si>
  <si>
    <t>Wolff</t>
  </si>
  <si>
    <t>Jean Conrad</t>
  </si>
  <si>
    <t>r de la vieille Draperie, 4 et 6</t>
  </si>
  <si>
    <t>Wolff Agate Elize, r de la Draperie, 4 et 6</t>
  </si>
  <si>
    <t>Yelh</t>
  </si>
  <si>
    <t>r des Anglais, 4</t>
  </si>
  <si>
    <t>ve Flicoteaux, rôtisseur</t>
  </si>
  <si>
    <t>Flicoteaux, Charles, traiteur, r des maisons Sorbonne, 30 (gendre??) et Flicoteaux Antoine Jean Charles, rôtisseur même maison que sa mère</t>
  </si>
  <si>
    <t>9-7-1817</t>
  </si>
  <si>
    <t>German</t>
  </si>
  <si>
    <t>Vaugirard 42</t>
  </si>
  <si>
    <t>bucherie 3</t>
  </si>
  <si>
    <t>Anglais 6</t>
  </si>
  <si>
    <t>Gillet</t>
  </si>
  <si>
    <t>Theophile</t>
  </si>
  <si>
    <t>Etudiant en droit</t>
  </si>
  <si>
    <t>Cimetier St andre 13</t>
  </si>
  <si>
    <t>Boutique Salle Nve du palais</t>
  </si>
  <si>
    <t>x conseiller</t>
  </si>
  <si>
    <t>Marchant Feuillette</t>
  </si>
  <si>
    <t>M Q grands augustin 35</t>
  </si>
  <si>
    <t>Gregoire</t>
  </si>
  <si>
    <t>Madelaine</t>
  </si>
  <si>
    <t>Vielle estrapade 9</t>
  </si>
  <si>
    <t>ve Charles Pierre Legard md orfevre</t>
  </si>
  <si>
    <t>Legrand Madelaine</t>
  </si>
  <si>
    <t>15-7-1817</t>
  </si>
  <si>
    <t>M St jean de Latran 2 et 4</t>
  </si>
  <si>
    <t>St jacques 40</t>
  </si>
  <si>
    <t>Sampierdurena ambroise jean</t>
  </si>
  <si>
    <t>31-10-1817</t>
  </si>
  <si>
    <t>M Harpe 26 et M St jacques 40</t>
  </si>
  <si>
    <t>Guerin</t>
  </si>
  <si>
    <t>Megissier</t>
  </si>
  <si>
    <t>Mouffetard 176</t>
  </si>
  <si>
    <t>Dupuis Marie Jeanne</t>
  </si>
  <si>
    <t>enf et ve</t>
  </si>
  <si>
    <t>7-5-1818</t>
  </si>
  <si>
    <t>m Servandoni 29</t>
  </si>
  <si>
    <t>Louis</t>
  </si>
  <si>
    <t>fille</t>
  </si>
  <si>
    <t>Freres et soeurs</t>
  </si>
  <si>
    <t>Marie Angelique</t>
  </si>
  <si>
    <t>Interdit</t>
  </si>
  <si>
    <t>Pot de fer 6</t>
  </si>
  <si>
    <t>Petit neveu</t>
  </si>
  <si>
    <t>22-12-1818</t>
  </si>
  <si>
    <t xml:space="preserve">Le seigneur </t>
  </si>
  <si>
    <t>claude</t>
  </si>
  <si>
    <t>JAQ</t>
  </si>
  <si>
    <t>RIQ</t>
  </si>
  <si>
    <t>her 3</t>
  </si>
  <si>
    <t>RIG</t>
  </si>
  <si>
    <t>ROBE</t>
  </si>
  <si>
    <t>ROBA</t>
  </si>
  <si>
    <t>ROBI</t>
  </si>
  <si>
    <t>ROC</t>
  </si>
  <si>
    <t>ROG</t>
  </si>
  <si>
    <t>ROL</t>
  </si>
  <si>
    <t>ROM</t>
  </si>
  <si>
    <t>RAF</t>
  </si>
  <si>
    <t>RAG</t>
  </si>
  <si>
    <t>RAI</t>
  </si>
  <si>
    <t>RAV</t>
  </si>
  <si>
    <t>RAY</t>
  </si>
  <si>
    <t>REC</t>
  </si>
  <si>
    <t>REG</t>
  </si>
  <si>
    <t>REI</t>
  </si>
  <si>
    <t>REN</t>
  </si>
  <si>
    <t>RENO</t>
  </si>
  <si>
    <t>RET</t>
  </si>
  <si>
    <t>REV</t>
  </si>
  <si>
    <t>REY</t>
  </si>
  <si>
    <t>RIB</t>
  </si>
  <si>
    <t>RICH</t>
  </si>
  <si>
    <t>RICA</t>
  </si>
  <si>
    <t>ROUG</t>
  </si>
  <si>
    <t>ROUS</t>
  </si>
  <si>
    <t>ROY</t>
  </si>
  <si>
    <t>RUA</t>
  </si>
  <si>
    <t>RUE</t>
  </si>
  <si>
    <t>RUZ</t>
  </si>
  <si>
    <t>SAB</t>
  </si>
  <si>
    <t>SAI</t>
  </si>
  <si>
    <t>SAL</t>
  </si>
  <si>
    <t>SAN</t>
  </si>
  <si>
    <t>SAR</t>
  </si>
  <si>
    <t>SAU</t>
  </si>
  <si>
    <t>SAV</t>
  </si>
  <si>
    <t>SEB</t>
  </si>
  <si>
    <t>SED</t>
  </si>
  <si>
    <t>SEG</t>
  </si>
  <si>
    <t>SEL</t>
  </si>
  <si>
    <t>SEN</t>
  </si>
  <si>
    <t>SER</t>
  </si>
  <si>
    <t>SEV</t>
  </si>
  <si>
    <t>SH</t>
  </si>
  <si>
    <t>Francoise</t>
  </si>
  <si>
    <t>Germain</t>
  </si>
  <si>
    <t>Louis nicolas Joseph</t>
  </si>
  <si>
    <t>Isle st Louis 17</t>
  </si>
  <si>
    <t>GES</t>
  </si>
  <si>
    <t>GIRO</t>
  </si>
  <si>
    <t>Goellin</t>
  </si>
  <si>
    <t>Pauline</t>
  </si>
  <si>
    <t>Q voltaire 3</t>
  </si>
  <si>
    <t>Soeur LU</t>
  </si>
  <si>
    <t>25-11-1817</t>
  </si>
  <si>
    <t>Gondé</t>
  </si>
  <si>
    <t>Sophie</t>
  </si>
  <si>
    <t>r St Antoine, 218</t>
  </si>
  <si>
    <t>son fils</t>
  </si>
  <si>
    <t>5-6-1819</t>
  </si>
  <si>
    <t>r du marché neuf, 48</t>
  </si>
  <si>
    <t>GOUR</t>
  </si>
  <si>
    <t>GOUT</t>
  </si>
  <si>
    <t>GUIGNERY</t>
  </si>
  <si>
    <t>2PORTES ISLE ST LOUIS 34</t>
  </si>
  <si>
    <t xml:space="preserve">son fils </t>
  </si>
  <si>
    <t>19.3.1818</t>
  </si>
  <si>
    <t>1/4 de l'hôtel des gardes du corps</t>
  </si>
  <si>
    <t>Guigner de Moreton de Chabrillant</t>
  </si>
  <si>
    <t>colonel de la Drôme (!!)</t>
  </si>
  <si>
    <t>Grenoble</t>
  </si>
  <si>
    <t>8-6-1819</t>
  </si>
  <si>
    <t>1/4 hôtel dit d'Aiguillon, 63 r de l'Université REVENUE TOTAL</t>
  </si>
  <si>
    <t>13-1-1823</t>
  </si>
  <si>
    <t>GUILB</t>
  </si>
  <si>
    <t>Guillot du cour</t>
  </si>
  <si>
    <t>Dominique</t>
  </si>
  <si>
    <t>St Dom au gros caillou</t>
  </si>
  <si>
    <t>fils naturel et collat</t>
  </si>
  <si>
    <t>13-2-1818</t>
  </si>
  <si>
    <t>m st dominique au gros caillou 40, 42</t>
  </si>
  <si>
    <t>30-12-1920</t>
  </si>
  <si>
    <t>GUN</t>
  </si>
  <si>
    <t>HAN</t>
  </si>
  <si>
    <t>POITIER</t>
  </si>
  <si>
    <t xml:space="preserve">HAU </t>
  </si>
  <si>
    <t>HAZ</t>
  </si>
  <si>
    <t xml:space="preserve">GUILLO </t>
  </si>
  <si>
    <t>Haudebourg</t>
  </si>
  <si>
    <t>Jean-baptiste</t>
  </si>
  <si>
    <t>St lucien pres beauvais</t>
  </si>
  <si>
    <t>fils archtetcte</t>
  </si>
  <si>
    <t>Rue des petits peres 34</t>
  </si>
  <si>
    <t>27-4-1818</t>
  </si>
  <si>
    <t>HEG</t>
  </si>
  <si>
    <t>HOFFMAN</t>
  </si>
  <si>
    <t>Houdon</t>
  </si>
  <si>
    <t>Jacques Philippe</t>
  </si>
  <si>
    <t>r St Dominique, 9</t>
  </si>
  <si>
    <t>ép. Levesque</t>
  </si>
  <si>
    <t>ve+fille+2 Houdon+6hers</t>
  </si>
  <si>
    <t>7-2-1818</t>
  </si>
  <si>
    <t>12 et 16-2-1818</t>
  </si>
  <si>
    <t>USUFRUIT 10100 r St Dominique au Gros Caillou, 9</t>
  </si>
  <si>
    <t>HOY</t>
  </si>
  <si>
    <t>HUO</t>
  </si>
  <si>
    <t>JACQUIN</t>
  </si>
  <si>
    <t>ANDRE CHARLES</t>
  </si>
  <si>
    <t>EX DOREUR</t>
  </si>
  <si>
    <t>6 DE LA CHAISE</t>
  </si>
  <si>
    <t>21.7.1818</t>
  </si>
  <si>
    <t>JEM</t>
  </si>
  <si>
    <t>JEU</t>
  </si>
  <si>
    <t xml:space="preserve">LAL </t>
  </si>
  <si>
    <t>Laly</t>
  </si>
  <si>
    <t>Marie Marguerite</t>
  </si>
  <si>
    <t>Grenelle 37</t>
  </si>
  <si>
    <t>Delamotte</t>
  </si>
  <si>
    <t>1 parent</t>
  </si>
  <si>
    <t>K</t>
  </si>
  <si>
    <t>KL</t>
  </si>
  <si>
    <t>Paul auguste Joseph</t>
  </si>
  <si>
    <t>Che Baron</t>
  </si>
  <si>
    <t>1/2 M St eloy 5 e+ Jacob 14</t>
  </si>
  <si>
    <t>LANI</t>
  </si>
  <si>
    <t>LAUV</t>
  </si>
  <si>
    <t>LEBE</t>
  </si>
  <si>
    <t>GIG</t>
  </si>
  <si>
    <t>HUS</t>
  </si>
  <si>
    <t>epiciere</t>
  </si>
  <si>
    <t>Josset</t>
  </si>
  <si>
    <t>Lalande</t>
  </si>
  <si>
    <t>Fille 1</t>
  </si>
  <si>
    <t>Louis joseph</t>
  </si>
  <si>
    <t>NNN</t>
  </si>
  <si>
    <t>LOG</t>
  </si>
  <si>
    <t>Choisy le roi</t>
  </si>
  <si>
    <t xml:space="preserve">enfants </t>
  </si>
  <si>
    <t>Marie sophie</t>
  </si>
  <si>
    <t>St Germain en Laye</t>
  </si>
  <si>
    <t>Jean Jacques</t>
  </si>
  <si>
    <t>neveux et petits neveux</t>
  </si>
  <si>
    <t>VEY</t>
  </si>
  <si>
    <t>Allard</t>
  </si>
  <si>
    <t>Horloger</t>
  </si>
  <si>
    <t>enfants 6</t>
  </si>
  <si>
    <t xml:space="preserve">VE  </t>
  </si>
  <si>
    <t>auteuil</t>
  </si>
  <si>
    <t xml:space="preserve">BEN </t>
  </si>
  <si>
    <t xml:space="preserve">BLA </t>
  </si>
  <si>
    <t>NA/M OU VF</t>
  </si>
  <si>
    <t xml:space="preserve">BOUC </t>
  </si>
  <si>
    <t>BRIA</t>
  </si>
  <si>
    <t xml:space="preserve">CAM </t>
  </si>
  <si>
    <t>François André</t>
  </si>
  <si>
    <t>payeur des rentes</t>
  </si>
  <si>
    <t>r des 2 portes, St Sauveur, 32</t>
  </si>
  <si>
    <t>sa sœur lég en usu+ses neveux</t>
  </si>
  <si>
    <t>16-10-1817</t>
  </si>
  <si>
    <t>Guermonprez</t>
  </si>
  <si>
    <t>We 1ere Noces Jean Lamy et 2eme noces Claude Boillive</t>
  </si>
  <si>
    <t>Rosalie Josephe</t>
  </si>
  <si>
    <t>Tracy 14</t>
  </si>
  <si>
    <t>PRES ORLEANS</t>
  </si>
  <si>
    <t>enf lamy et LP</t>
  </si>
  <si>
    <t>VAUGIRARD</t>
  </si>
  <si>
    <t>1/2 Guerin Boisseau 47 et 47</t>
  </si>
  <si>
    <t>CHARLEVILLE</t>
  </si>
  <si>
    <t>Mondebou 29</t>
  </si>
  <si>
    <t>Guillebon</t>
  </si>
  <si>
    <t>Pierre Godefroy</t>
  </si>
  <si>
    <t>Agathe thereze</t>
  </si>
  <si>
    <t>Jean Robert 26</t>
  </si>
  <si>
    <t>13-4-1818</t>
  </si>
  <si>
    <t>GUR</t>
  </si>
  <si>
    <t>Guyon</t>
  </si>
  <si>
    <t>Marianne</t>
  </si>
  <si>
    <t>religieuse</t>
  </si>
  <si>
    <t>trois maures 4</t>
  </si>
  <si>
    <t>Avocat et 4 autres</t>
  </si>
  <si>
    <t>22-2-1818</t>
  </si>
  <si>
    <t>Hebert</t>
  </si>
  <si>
    <t>Wf magdaliene sophie caudron</t>
  </si>
  <si>
    <t>x negociant</t>
  </si>
  <si>
    <t>st maure 27</t>
  </si>
  <si>
    <t>1/2 M Fb st martin</t>
  </si>
  <si>
    <t>Ve egely</t>
  </si>
  <si>
    <t>Marie elizabeth</t>
  </si>
  <si>
    <t>NN</t>
  </si>
  <si>
    <t>her 1</t>
  </si>
  <si>
    <t>10-9-1818</t>
  </si>
  <si>
    <t>Hedelin</t>
  </si>
  <si>
    <t>Thibault philippe</t>
  </si>
  <si>
    <t>Bd St martin 12</t>
  </si>
  <si>
    <t>her 13</t>
  </si>
  <si>
    <t>Fontenay au rose</t>
  </si>
  <si>
    <t>1/5 de 1/2 M charlot</t>
  </si>
  <si>
    <t>HENT</t>
  </si>
  <si>
    <t>Herbe</t>
  </si>
  <si>
    <t>Fournier Jean Francois</t>
  </si>
  <si>
    <t>Claire Francoise Victoire</t>
  </si>
  <si>
    <t>Ecrivains 44</t>
  </si>
  <si>
    <t>12-8-1817</t>
  </si>
  <si>
    <t>1/2 M meri 5</t>
  </si>
  <si>
    <t>Hermain</t>
  </si>
  <si>
    <t>Vf Leclerc marie suzanne +1815</t>
  </si>
  <si>
    <t>Jean Marie</t>
  </si>
  <si>
    <t>Employe</t>
  </si>
  <si>
    <t>Hotel des postes</t>
  </si>
  <si>
    <t>M st denis 237</t>
  </si>
  <si>
    <t>HOC</t>
  </si>
  <si>
    <t>HOR</t>
  </si>
  <si>
    <t>HOPITAL BEAUJON</t>
  </si>
  <si>
    <t>HUC</t>
  </si>
  <si>
    <t>Ve Heron</t>
  </si>
  <si>
    <t>Julie aimee</t>
  </si>
  <si>
    <t>Clery 74</t>
  </si>
  <si>
    <t>freres 2</t>
  </si>
  <si>
    <t>Hyon</t>
  </si>
  <si>
    <t>EP Mordan Marie Therese</t>
  </si>
  <si>
    <t>Plaqueur</t>
  </si>
  <si>
    <t>Fointain 17</t>
  </si>
  <si>
    <t>enfants mineurs et 1 majeur</t>
  </si>
  <si>
    <t>1/2 de 2 m Fb Temple 17 1t 21</t>
  </si>
  <si>
    <t>Icard</t>
  </si>
  <si>
    <t>I</t>
  </si>
  <si>
    <t>Joseph Jerome</t>
  </si>
  <si>
    <t>Nve Orlean 18</t>
  </si>
  <si>
    <t>Enfants 4</t>
  </si>
  <si>
    <t>IR</t>
  </si>
  <si>
    <t>9/4/1817</t>
  </si>
  <si>
    <t>1/2 M st denis 2/12</t>
  </si>
  <si>
    <t>IS</t>
  </si>
  <si>
    <t>19-5-1818</t>
  </si>
  <si>
    <t>JOB</t>
  </si>
  <si>
    <t>Joquin -Rouxelle</t>
  </si>
  <si>
    <t>Emilland</t>
  </si>
  <si>
    <t>Chorainvillier/Nemours</t>
  </si>
  <si>
    <t>Enfants 3 ve don</t>
  </si>
  <si>
    <t>Lancry 19</t>
  </si>
  <si>
    <t>GENDRE</t>
  </si>
  <si>
    <t>Jouette</t>
  </si>
  <si>
    <t>Ve simon</t>
  </si>
  <si>
    <t>Suzanne marguerite</t>
  </si>
  <si>
    <t>Mesle 54</t>
  </si>
  <si>
    <t>1/3 M meslee 54</t>
  </si>
  <si>
    <t>Joudrin</t>
  </si>
  <si>
    <t>Blan Marie angelique</t>
  </si>
  <si>
    <t>Folie Mericourt</t>
  </si>
  <si>
    <t>Joudran 2</t>
  </si>
  <si>
    <t>30-6-1818</t>
  </si>
  <si>
    <t>M et terrain Follie mericaourt 23-19</t>
  </si>
  <si>
    <t>JUG</t>
  </si>
  <si>
    <t>Kesler</t>
  </si>
  <si>
    <t>Barbe Pierre</t>
  </si>
  <si>
    <t>Francois Ignace</t>
  </si>
  <si>
    <t>Boucher</t>
  </si>
  <si>
    <t>Temple 103</t>
  </si>
  <si>
    <t>Fille min 1 ve usu</t>
  </si>
  <si>
    <t>9-10-1817</t>
  </si>
  <si>
    <t>Alzzzer 9</t>
  </si>
  <si>
    <t>KI</t>
  </si>
  <si>
    <t>LECESNE</t>
  </si>
  <si>
    <t>30/4/1817</t>
  </si>
  <si>
    <t>LEPINE</t>
  </si>
  <si>
    <t>La Chapelle</t>
  </si>
  <si>
    <t>7/5/1817</t>
  </si>
  <si>
    <t>1/3 M greneta 11</t>
  </si>
  <si>
    <t>FILS 1</t>
  </si>
  <si>
    <t>1/2 M folie mericout 28</t>
  </si>
  <si>
    <t>Genevieve louise</t>
  </si>
  <si>
    <t>Bourbon villeneuve 57</t>
  </si>
  <si>
    <t>30-10-1817</t>
  </si>
  <si>
    <t>M ste denis 142 et bourbon villeneuve 57</t>
  </si>
  <si>
    <t>Lamery de</t>
  </si>
  <si>
    <t xml:space="preserve">ve De Barriere de montvallat et ve d'oreil </t>
  </si>
  <si>
    <t>Santonge 11</t>
  </si>
  <si>
    <t>18-8-1817</t>
  </si>
  <si>
    <t>LAMI</t>
  </si>
  <si>
    <t>Lapille</t>
  </si>
  <si>
    <t>Etienne Maurice Musnier delalisier Prop</t>
  </si>
  <si>
    <t>Meslee 31</t>
  </si>
  <si>
    <t>Mari et enfants 2</t>
  </si>
  <si>
    <t>HAUT DE MOULIN</t>
  </si>
  <si>
    <t>1/6 M St sauveur 29</t>
  </si>
  <si>
    <t>Vf Marie Claude Chevenot +28-19-18254</t>
  </si>
  <si>
    <t>juge</t>
  </si>
  <si>
    <t>thevenot 4</t>
  </si>
  <si>
    <t>20-10-1823</t>
  </si>
  <si>
    <t xml:space="preserve">DEV </t>
  </si>
  <si>
    <t>fh</t>
  </si>
  <si>
    <t>Poissoniere 7</t>
  </si>
  <si>
    <t>Gallois</t>
  </si>
  <si>
    <t>Grandin</t>
  </si>
  <si>
    <t>Marie jeanne</t>
  </si>
  <si>
    <t>HED</t>
  </si>
  <si>
    <t>ép, BRACHET, Adèle Josephine</t>
  </si>
  <si>
    <t>marchand de soie</t>
  </si>
  <si>
    <t>r St Denis, 172 (6°)</t>
  </si>
  <si>
    <t>sa femme en usu+sa fille mineure</t>
  </si>
  <si>
    <t>P/M ST MARTIN 161</t>
  </si>
  <si>
    <t>COUSINS</t>
  </si>
  <si>
    <t>PHA</t>
  </si>
  <si>
    <t>PHE</t>
  </si>
  <si>
    <t>Pichenay</t>
  </si>
  <si>
    <t>Leonard Francois</t>
  </si>
  <si>
    <t>Prouvaires 16</t>
  </si>
  <si>
    <t>Nieces</t>
  </si>
  <si>
    <t>1/2 M Neve St etienne 7</t>
  </si>
  <si>
    <t>Abel, nicolas antoine</t>
  </si>
  <si>
    <t>Alexandre Louise</t>
  </si>
  <si>
    <t>Coq st honore 8</t>
  </si>
  <si>
    <t>mere et 1 soeur</t>
  </si>
  <si>
    <t>1/4 M Neve St etienne 7</t>
  </si>
  <si>
    <t>Picot</t>
  </si>
  <si>
    <t>Guertin, piere</t>
  </si>
  <si>
    <t>Madeleine Noel sophie</t>
  </si>
  <si>
    <t>mde</t>
  </si>
  <si>
    <t>St denis 82</t>
  </si>
  <si>
    <t>Mari et filles 2</t>
  </si>
  <si>
    <t>Piochard</t>
  </si>
  <si>
    <t>Voitrin, Jean Louis</t>
  </si>
  <si>
    <t>Marguerite elizabeth</t>
  </si>
  <si>
    <t>Appoline 3</t>
  </si>
  <si>
    <t>Mari et enfants 3</t>
  </si>
  <si>
    <t>1/2 M St martin 307 et 309 et Nves st laurent (tout)</t>
  </si>
  <si>
    <t>8-3-1819</t>
  </si>
  <si>
    <t>Pochet</t>
  </si>
  <si>
    <t>Baudin marie francoise</t>
  </si>
  <si>
    <t>Gilles Francois</t>
  </si>
  <si>
    <t>Ave Arc de triomohe 4</t>
  </si>
  <si>
    <t>1 pochet 1 baqudin</t>
  </si>
  <si>
    <t>6-11-817</t>
  </si>
  <si>
    <t>Temple 57</t>
  </si>
  <si>
    <t>WE ANT PAUL DESROQUES</t>
  </si>
  <si>
    <t>Jeanne Louise</t>
  </si>
  <si>
    <t>St martin 185</t>
  </si>
  <si>
    <t>17-10-17</t>
  </si>
  <si>
    <t>Boulanger, Jean Nicolas Louis</t>
  </si>
  <si>
    <t>Mde</t>
  </si>
  <si>
    <t>temple 39</t>
  </si>
  <si>
    <t>enf du second marieage et mari</t>
  </si>
  <si>
    <t>1/2 m Temple 39</t>
  </si>
  <si>
    <t>POM</t>
  </si>
  <si>
    <t>VERDUN MEUSE</t>
  </si>
  <si>
    <t xml:space="preserve"> St martin 240</t>
  </si>
  <si>
    <t>14-6-1817</t>
  </si>
  <si>
    <t>Poterat</t>
  </si>
  <si>
    <t>ép, Tripier, Pierre Marie</t>
  </si>
  <si>
    <t>Barbe</t>
  </si>
  <si>
    <t>Cul de sac de la Pompe, 3</t>
  </si>
  <si>
    <t>mari+2enf</t>
  </si>
  <si>
    <t>1/2 m Cul de sac de la Pompe, 3</t>
  </si>
  <si>
    <t>CAMPUIS OISE</t>
  </si>
  <si>
    <t>RICHNER</t>
  </si>
  <si>
    <t>10/2/1817</t>
  </si>
  <si>
    <t>RICHARD de PINCHON de LIVRY</t>
  </si>
  <si>
    <t>14/4/1817</t>
  </si>
  <si>
    <t>REUSSE</t>
  </si>
  <si>
    <t>26-6-1817</t>
  </si>
  <si>
    <t>Reiche</t>
  </si>
  <si>
    <t>vf Puissant, Jeanne Marie</t>
  </si>
  <si>
    <t>Jean André</t>
  </si>
  <si>
    <t>fabricant de bronze</t>
  </si>
  <si>
    <t>r ND de Nazareth, 19</t>
  </si>
  <si>
    <t>fils; frère+sœur</t>
  </si>
  <si>
    <t>18-7-1817</t>
  </si>
  <si>
    <t>m r ND de Nazareth, 19</t>
  </si>
  <si>
    <t>Remond</t>
  </si>
  <si>
    <t>ép. Lançon, Jean Joseph</t>
  </si>
  <si>
    <t>fg du Temple, 42 et 44</t>
  </si>
  <si>
    <t>3 ReMONd+son mari</t>
  </si>
  <si>
    <t>m fg du Temple, 42 et 44</t>
  </si>
  <si>
    <t>Remy</t>
  </si>
  <si>
    <t>J…Nicolas</t>
  </si>
  <si>
    <t>huissier</t>
  </si>
  <si>
    <t>r des petits Carreaux, 28</t>
  </si>
  <si>
    <t>14 héritiers</t>
  </si>
  <si>
    <t>m r des petits Carreaux, 28</t>
  </si>
  <si>
    <t>ép. Etienne, Marie Elizabeth</t>
  </si>
  <si>
    <t>charcutier</t>
  </si>
  <si>
    <t>Bellevile</t>
  </si>
  <si>
    <t>m fg St Martin, 41</t>
  </si>
  <si>
    <t>MARI ET FILLE</t>
  </si>
  <si>
    <t>REH</t>
  </si>
  <si>
    <t>10-5-1820</t>
  </si>
  <si>
    <t>Poitier (86)</t>
  </si>
  <si>
    <t>Riollet</t>
  </si>
  <si>
    <t>ép. Clérin, Nicolas Edme, marchand papetier</t>
  </si>
  <si>
    <t>Elizabeth Henriette</t>
  </si>
  <si>
    <t>r Heaumène, 8 (6°)</t>
  </si>
  <si>
    <t>le mari+ses 2 enf</t>
  </si>
  <si>
    <t>Roberge de Boismorel</t>
  </si>
  <si>
    <t>r Meslée, 38</t>
  </si>
  <si>
    <t>Defavières (de Favières)+légataire particulier</t>
  </si>
  <si>
    <t>Rognon</t>
  </si>
  <si>
    <t>We Nicolas, Claude  Hyacinthe</t>
  </si>
  <si>
    <t>Marie, Marguerite</t>
  </si>
  <si>
    <t>Vineuil, commune de ST Firmin</t>
  </si>
  <si>
    <t>neveux et nièces</t>
  </si>
  <si>
    <t>RIF</t>
  </si>
  <si>
    <t>11-6-1817</t>
  </si>
  <si>
    <t>RON</t>
  </si>
  <si>
    <t>ROT</t>
  </si>
  <si>
    <t>ROUC</t>
  </si>
  <si>
    <t>ép. Béranger, Lazare</t>
  </si>
  <si>
    <t>Catherine Joséphine</t>
  </si>
  <si>
    <t>r Francaird (zz), 8</t>
  </si>
  <si>
    <t>11-12-1820</t>
  </si>
  <si>
    <t>FRERE ET SOEUR</t>
  </si>
  <si>
    <t>2 TRAVEES DU PASS DU CAIRE</t>
  </si>
  <si>
    <t>Nve st catherine 14</t>
  </si>
  <si>
    <t>1/2 M st appoline 2</t>
  </si>
  <si>
    <t>SET</t>
  </si>
  <si>
    <t>SIS</t>
  </si>
  <si>
    <t>TAM</t>
  </si>
  <si>
    <t>Taussiel</t>
  </si>
  <si>
    <t>EP Chegaray, Jeanne Catherine</t>
  </si>
  <si>
    <t>Michel Jean baptiste</t>
  </si>
  <si>
    <t>Bourbon villeneuve 35</t>
  </si>
  <si>
    <t>26-11-18181</t>
  </si>
  <si>
    <t>we georges moncouteaux</t>
  </si>
  <si>
    <t>Fb st martin 111</t>
  </si>
  <si>
    <t>enfants 7</t>
  </si>
  <si>
    <t>30-9-1817</t>
  </si>
  <si>
    <t>1/2m Fb st martin 1111</t>
  </si>
  <si>
    <t>Angouleme 6</t>
  </si>
  <si>
    <t>Tarrinzzz 4</t>
  </si>
  <si>
    <t xml:space="preserve">POI </t>
  </si>
  <si>
    <t>RAU</t>
  </si>
  <si>
    <t>CE</t>
  </si>
  <si>
    <t>Rousseau</t>
  </si>
  <si>
    <t>SPO</t>
  </si>
  <si>
    <t>BRID</t>
  </si>
  <si>
    <t>BRUC</t>
  </si>
  <si>
    <t xml:space="preserve">CAN </t>
  </si>
  <si>
    <t>DELAC</t>
  </si>
  <si>
    <t xml:space="preserve">DELAN </t>
  </si>
  <si>
    <t>1/2 m st jacques 150</t>
  </si>
  <si>
    <t>LAD</t>
  </si>
  <si>
    <t>LAF</t>
  </si>
  <si>
    <t>LAG</t>
  </si>
  <si>
    <t>LAI</t>
  </si>
  <si>
    <t>LAL</t>
  </si>
  <si>
    <t>LAMA</t>
  </si>
  <si>
    <t>LAMB</t>
  </si>
  <si>
    <t>LAMO</t>
  </si>
  <si>
    <t>LAMY</t>
  </si>
  <si>
    <t>LANC</t>
  </si>
  <si>
    <t>LAND</t>
  </si>
  <si>
    <t>CEL MIN</t>
  </si>
  <si>
    <t>LANG</t>
  </si>
  <si>
    <t>LAP</t>
  </si>
  <si>
    <t>laporte</t>
  </si>
  <si>
    <t>antoine Louis Catherine</t>
  </si>
  <si>
    <t>X imprimeur libraire</t>
  </si>
  <si>
    <t>De savoie 12</t>
  </si>
  <si>
    <t>nevueux</t>
  </si>
  <si>
    <t>15-6-1818</t>
  </si>
  <si>
    <t>LARM</t>
  </si>
  <si>
    <t>LARO</t>
  </si>
  <si>
    <t>LART</t>
  </si>
  <si>
    <t>LAS</t>
  </si>
  <si>
    <t>LaTheclise</t>
  </si>
  <si>
    <t>LAUR</t>
  </si>
  <si>
    <t>LEGE</t>
  </si>
  <si>
    <t>LEGO</t>
  </si>
  <si>
    <t>LEGR</t>
  </si>
  <si>
    <t>LEGU</t>
  </si>
  <si>
    <t>LEJ</t>
  </si>
  <si>
    <t>LEL</t>
  </si>
  <si>
    <t>LEMA</t>
  </si>
  <si>
    <t>MINEURE</t>
  </si>
  <si>
    <t>LEMO</t>
  </si>
  <si>
    <t>LEN</t>
  </si>
  <si>
    <t>LEP</t>
  </si>
  <si>
    <t>LEQ</t>
  </si>
  <si>
    <t>LEROI</t>
  </si>
  <si>
    <t>LEROU</t>
  </si>
  <si>
    <t>LEROY</t>
  </si>
  <si>
    <t>LES</t>
  </si>
  <si>
    <t>M TOURNON 12</t>
  </si>
  <si>
    <t>LESQ</t>
  </si>
  <si>
    <t>ENFANTS ROUGES</t>
  </si>
  <si>
    <t>LET</t>
  </si>
  <si>
    <t>PICPUS</t>
  </si>
  <si>
    <t>LEVA</t>
  </si>
  <si>
    <t>LEVE</t>
  </si>
  <si>
    <t>LEVI</t>
  </si>
  <si>
    <t>LIE</t>
  </si>
  <si>
    <t>LIG</t>
  </si>
  <si>
    <t>LIM</t>
  </si>
  <si>
    <t>LIN</t>
  </si>
  <si>
    <t>LOI</t>
  </si>
  <si>
    <t>LOR</t>
  </si>
  <si>
    <t>LOT</t>
  </si>
  <si>
    <t>LOU</t>
  </si>
  <si>
    <t>LOY</t>
  </si>
  <si>
    <t>LUC</t>
  </si>
  <si>
    <t>MAC</t>
  </si>
  <si>
    <t>MAG</t>
  </si>
  <si>
    <t>MINEUR</t>
  </si>
  <si>
    <t>Bretagne 45</t>
  </si>
  <si>
    <t>Dhervin</t>
  </si>
  <si>
    <t>Cousin et fille min</t>
  </si>
  <si>
    <t>1/2 Bretagne 45 sans doute</t>
  </si>
  <si>
    <t>Declaris</t>
  </si>
  <si>
    <t>Pierre Maurice</t>
  </si>
  <si>
    <t>X presid ch cpt Monpellier</t>
  </si>
  <si>
    <t>Temple 50</t>
  </si>
  <si>
    <t>Vf Montginot Charlotte antoinette Genevieve</t>
  </si>
  <si>
    <t>25-9-1928</t>
  </si>
  <si>
    <t>DEHAIS</t>
  </si>
  <si>
    <t>Versailles, av de St Cloud, 83</t>
  </si>
  <si>
    <t>ép. SUPERSAC, Agathe, Aimée</t>
  </si>
  <si>
    <t>sa ve en usu (1/2)+sa dernière fille mineure+sa 1° fille ép négociant</t>
  </si>
  <si>
    <t>11-8-1817</t>
  </si>
  <si>
    <t>Cul de sac St Sebastien</t>
  </si>
  <si>
    <t>DELACROIX</t>
  </si>
  <si>
    <t xml:space="preserve">Pierre </t>
  </si>
  <si>
    <t>r Neuve St Martin, 27</t>
  </si>
  <si>
    <t>m r du fg St Antoine, 247</t>
  </si>
  <si>
    <t>Delahais</t>
  </si>
  <si>
    <t>Jean Baptiste Guillaiume</t>
  </si>
  <si>
    <t>Arcis 22</t>
  </si>
  <si>
    <t>Gendre et fils</t>
  </si>
  <si>
    <t>DELAHOGUE</t>
  </si>
  <si>
    <t>Marie Pascale</t>
  </si>
  <si>
    <t>ve LIMODIN Jean</t>
  </si>
  <si>
    <t>5 parents mais ss liens donnés</t>
  </si>
  <si>
    <t>20-6-1820</t>
  </si>
  <si>
    <t>1/2 M menestrier 13</t>
  </si>
  <si>
    <t>Anne Marie Henriette</t>
  </si>
  <si>
    <t>r des 4 fils, 16</t>
  </si>
  <si>
    <t>ve SOLLIER, Etienne Arnould</t>
  </si>
  <si>
    <t>un parent (enf??), chev de la LH, et autres</t>
  </si>
  <si>
    <t>19-8-1817</t>
  </si>
  <si>
    <t>Delarche</t>
  </si>
  <si>
    <t>Marie Eleonore</t>
  </si>
  <si>
    <t>De la marche</t>
  </si>
  <si>
    <t>mere et freres et soeur</t>
  </si>
  <si>
    <t>1/8 m Marche 2</t>
  </si>
  <si>
    <t>de LAUGIER</t>
  </si>
  <si>
    <t>Hélène Aimée Françoise, baronne</t>
  </si>
  <si>
    <t>r du Pont aux choux, 17</t>
  </si>
  <si>
    <t>ép. Le baron de LaUGIER</t>
  </si>
  <si>
    <t>son mari, donataire</t>
  </si>
  <si>
    <t>1-5-1817</t>
  </si>
  <si>
    <t>Delaugier</t>
  </si>
  <si>
    <t>Blathazard</t>
  </si>
  <si>
    <t>Vf La prudente</t>
  </si>
  <si>
    <t>1-3-1818</t>
  </si>
  <si>
    <t>m r de Moussy, 6</t>
  </si>
  <si>
    <t>1/2 m près de la barrière de Vincennes</t>
  </si>
  <si>
    <t>1/7 m r du chemin vert</t>
  </si>
  <si>
    <t>Demoulin</t>
  </si>
  <si>
    <t>fg St Antoine, 241</t>
  </si>
  <si>
    <t>SŒUR+NIECES</t>
  </si>
  <si>
    <t>10-5-1818</t>
  </si>
  <si>
    <t>m r DSt Antoine, 138</t>
  </si>
  <si>
    <t>d'Espagnac</t>
  </si>
  <si>
    <t>Jean Frédéric Guillaume, comte</t>
  </si>
  <si>
    <t>r St Louis, 30</t>
  </si>
  <si>
    <t>ép, Duchastel, Caroline, Joséphine</t>
  </si>
  <si>
    <t>Vf  Bladget marthe</t>
  </si>
  <si>
    <t>neveu 1 Irlandde</t>
  </si>
  <si>
    <t>2-1-1818</t>
  </si>
  <si>
    <t>Coste</t>
  </si>
  <si>
    <t>Caumartin 35</t>
  </si>
  <si>
    <t>Ve Laujon Pierre Membre Institut</t>
  </si>
  <si>
    <t>enfants 2 dt 1 interdit 3eme renonce</t>
  </si>
  <si>
    <t>Cossonneau</t>
  </si>
  <si>
    <t>Michel Louis</t>
  </si>
  <si>
    <t>Entrep bat</t>
  </si>
  <si>
    <t>Fb roule 522</t>
  </si>
  <si>
    <t>vf Offroy marie francoise Nicole</t>
  </si>
  <si>
    <t>M 2 fb roule 39-41</t>
  </si>
  <si>
    <t xml:space="preserve">COUL </t>
  </si>
  <si>
    <t>Coulomb</t>
  </si>
  <si>
    <t>Joseph Philibert</t>
  </si>
  <si>
    <t>X cons cour des aides Montpelier</t>
  </si>
  <si>
    <t>13 Capucinnes</t>
  </si>
  <si>
    <t>Francoise cecile Fabre</t>
  </si>
  <si>
    <t>1-10-1817</t>
  </si>
  <si>
    <t>Anne Marie Therese</t>
  </si>
  <si>
    <t>St Honore 349</t>
  </si>
  <si>
    <t>Jacques andre Nicolas Hacot</t>
  </si>
  <si>
    <t>4-8-18178</t>
  </si>
  <si>
    <t>M St honore 349</t>
  </si>
  <si>
    <t>Vict Germain</t>
  </si>
  <si>
    <t>Ecajeul calvados</t>
  </si>
  <si>
    <t>Montpelier descourt virgine</t>
  </si>
  <si>
    <t>Ve don</t>
  </si>
  <si>
    <t>M tourt d'auvergner</t>
  </si>
  <si>
    <t>GRANDE R DE CHAILLOT 95</t>
  </si>
  <si>
    <t>Cuissot</t>
  </si>
  <si>
    <t>Sentier 15</t>
  </si>
  <si>
    <t>Ve edmond Baudry</t>
  </si>
  <si>
    <t>fille et J-B Millot x insp gal des fin</t>
  </si>
  <si>
    <t>23-7-1819</t>
  </si>
  <si>
    <t>2m St lazare 126, 124</t>
  </si>
  <si>
    <t>Daymar</t>
  </si>
  <si>
    <t>Honore Lamb ert</t>
  </si>
  <si>
    <t>Lieut colonel</t>
  </si>
  <si>
    <t>Versailles St Louis 24</t>
  </si>
  <si>
    <t>Fourcher Marie Gabrielle</t>
  </si>
  <si>
    <t>Ve et 2 filles mineures</t>
  </si>
  <si>
    <t>M Richelieu 7</t>
  </si>
  <si>
    <t>Delachesnaye</t>
  </si>
  <si>
    <t>Philippe Esprit</t>
  </si>
  <si>
    <t>Intendant Mr Frere du roi</t>
  </si>
  <si>
    <t>St anne 17</t>
  </si>
  <si>
    <t>M Fb Poissoniere 15</t>
  </si>
  <si>
    <t>Girardin de</t>
  </si>
  <si>
    <t>Marie Francoise Laure</t>
  </si>
  <si>
    <t>Duphot 23</t>
  </si>
  <si>
    <t>Ve Arthur de Dillon gouv de Tabago</t>
  </si>
  <si>
    <t>enfants 2 petits enfants 3</t>
  </si>
  <si>
    <t>Giron</t>
  </si>
  <si>
    <t>Fr Marie Paul</t>
  </si>
  <si>
    <t>Argenteuil 22</t>
  </si>
  <si>
    <t>marie Anne Valentin</t>
  </si>
  <si>
    <t>M Argenteuil 22</t>
  </si>
  <si>
    <t xml:space="preserve">GN </t>
  </si>
  <si>
    <t>Gnelle</t>
  </si>
  <si>
    <t>Argenteuil 8</t>
  </si>
  <si>
    <t>Ve Beaujolin antoine</t>
  </si>
  <si>
    <t>2 Beaujolin</t>
  </si>
  <si>
    <t>28-11-1817</t>
  </si>
  <si>
    <t>GOH</t>
  </si>
  <si>
    <t>ANCIEN consEILLE AU parlEMENT</t>
  </si>
  <si>
    <t>Grande rue Verte</t>
  </si>
  <si>
    <t>Masson1 et Marchand 5</t>
  </si>
  <si>
    <t>M 24 rue Verte, M 26 rue Verte M 54 rue richelieu</t>
  </si>
  <si>
    <t>1/3 M st Anne 26</t>
  </si>
  <si>
    <t xml:space="preserve">GUER </t>
  </si>
  <si>
    <t>Guernoval de L'esquelbecq</t>
  </si>
  <si>
    <t>Alexandrine Henriette Laure Jeanne Anna</t>
  </si>
  <si>
    <t>Anjou st Honore 6</t>
  </si>
  <si>
    <t>Marquise de la Rochedragon</t>
  </si>
  <si>
    <t>Mere 1/4 soeur et frere 3/4</t>
  </si>
  <si>
    <t>GOulard</t>
  </si>
  <si>
    <t>Jean Francois Thomas</t>
  </si>
  <si>
    <t>Admin du Mob de la couronne</t>
  </si>
  <si>
    <t>Champs Elysee 6</t>
  </si>
  <si>
    <t>Louise Marie Adelaide Belletreux</t>
  </si>
  <si>
    <t>Draveil Seine et loire</t>
  </si>
  <si>
    <t>Enf min 4 et ve</t>
  </si>
  <si>
    <t>19-3-1818</t>
  </si>
  <si>
    <t xml:space="preserve"> Coquenard 4</t>
  </si>
  <si>
    <t>X negociant</t>
  </si>
  <si>
    <t>St marc 27</t>
  </si>
  <si>
    <t>Vf Madeleine Sophie Caudron</t>
  </si>
  <si>
    <t>Helvetius</t>
  </si>
  <si>
    <t>Germaine Adelaide</t>
  </si>
  <si>
    <t>St fb st honore 47</t>
  </si>
  <si>
    <t>Dandlaw Antoine Henry comte Lgal +20-7-1820</t>
  </si>
  <si>
    <t>A vore Orne</t>
  </si>
  <si>
    <t>Henoc</t>
  </si>
  <si>
    <t>Courcelles 4</t>
  </si>
  <si>
    <t>Lasserre J-B entrep bat</t>
  </si>
  <si>
    <t>m Paix 24 et M 4 courcelles</t>
  </si>
  <si>
    <t>HERS</t>
  </si>
  <si>
    <t>HIO</t>
  </si>
  <si>
    <t>JARDI</t>
  </si>
  <si>
    <t>ALLEE DES VANVES 31</t>
  </si>
  <si>
    <t>14.2.1818</t>
  </si>
  <si>
    <t>Claude Henry</t>
  </si>
  <si>
    <t>Nourisseur de Bestiaux</t>
  </si>
  <si>
    <t>Fb temple 59</t>
  </si>
  <si>
    <t>Fortin Marie Marguerite</t>
  </si>
  <si>
    <t>frere 1 autres herit ont renonce</t>
  </si>
  <si>
    <t>24-11-1818</t>
  </si>
  <si>
    <t>1/4 m r du fg du Roule, 78</t>
  </si>
  <si>
    <t>11-12-1818</t>
  </si>
  <si>
    <t xml:space="preserve">JOS </t>
  </si>
  <si>
    <t>Julienne</t>
  </si>
  <si>
    <t>Jean Claude Maurice</t>
  </si>
  <si>
    <t>Choisy le Roi</t>
  </si>
  <si>
    <t>ép, Choquet, Marguerite Scholastique</t>
  </si>
  <si>
    <t>ses 2 filles</t>
  </si>
  <si>
    <t>1/3 m r Gaillon, 7</t>
  </si>
  <si>
    <t>R DES BATAILLES 20</t>
  </si>
  <si>
    <t>Laczinska</t>
  </si>
  <si>
    <t xml:space="preserve">Marie </t>
  </si>
  <si>
    <t>r Chantereine, 48</t>
  </si>
  <si>
    <t>ép 1 Colonna de Walewski (sic) et 2/comte d'Ornano (le Colonna c'est lui, il me semble), Philippe Auguste</t>
  </si>
  <si>
    <t>les 2 enfs de son 1° mari+l'enfant du second mariage</t>
  </si>
  <si>
    <t>pas de revenu noté pour la maison r Chantereine car elle n'en a que l'usufruit</t>
  </si>
  <si>
    <t>Lagrange</t>
  </si>
  <si>
    <t>Michel, Philippe Augustin</t>
  </si>
  <si>
    <t xml:space="preserve">Trésorier de l'artillerie </t>
  </si>
  <si>
    <t>ép. Pusterla, Françoise Marie</t>
  </si>
  <si>
    <t>Turin</t>
  </si>
  <si>
    <t>ses 2 fils</t>
  </si>
  <si>
    <t>22-3-1822</t>
  </si>
  <si>
    <t>Lalisse</t>
  </si>
  <si>
    <t>ancienne mde Grainetière</t>
  </si>
  <si>
    <t xml:space="preserve">LAMB </t>
  </si>
  <si>
    <t>Paul Auguste Joseph</t>
  </si>
  <si>
    <t>baron, chevalier de Malte</t>
  </si>
  <si>
    <t>ép, Brossard, Aglaé, Louise , Etienette (usufruitière, + le 16/8/1823)</t>
  </si>
  <si>
    <t>ses 4 enf mineurs</t>
  </si>
  <si>
    <t>LAVAL</t>
  </si>
  <si>
    <t>RICHELIEU 66</t>
  </si>
  <si>
    <t>11.9.1817</t>
  </si>
  <si>
    <t xml:space="preserve">LAV </t>
  </si>
  <si>
    <t>Lococq</t>
  </si>
  <si>
    <t>Montmartre 46</t>
  </si>
  <si>
    <t>Julie Elisabeth guenin</t>
  </si>
  <si>
    <t>Ve et 7 enfants</t>
  </si>
  <si>
    <t>tient 2 M a baill emphiteotique 4 bufault et 46 fb montmartre mais pas d'eval</t>
  </si>
  <si>
    <t>453ET 456</t>
  </si>
  <si>
    <t>Longuet</t>
  </si>
  <si>
    <t>Therere</t>
  </si>
  <si>
    <t>Meudon</t>
  </si>
  <si>
    <t>Paley Paul joseph Maire de Meudon</t>
  </si>
  <si>
    <t>a Meudon</t>
  </si>
  <si>
    <t>Mari 1/4p1/4usu enfants 2, 3/4p</t>
  </si>
  <si>
    <t>M bleu</t>
  </si>
  <si>
    <t>Lenormand de Montréal</t>
  </si>
  <si>
    <t>lieutenant de l'Etat major de la garde nationale</t>
  </si>
  <si>
    <t>r St Florentin, 7</t>
  </si>
  <si>
    <t>mère et frères</t>
  </si>
  <si>
    <t>1/2 m r Chaillot, 81</t>
  </si>
  <si>
    <t>r St Antoine, 163</t>
  </si>
  <si>
    <t>ép, Gautier, Marie Anne</t>
  </si>
  <si>
    <t>son fils adoptif</t>
  </si>
  <si>
    <t>13-10-1817</t>
  </si>
  <si>
    <t>r Neuve St Roch, 23 (conquet)</t>
  </si>
  <si>
    <t>Ligue</t>
  </si>
  <si>
    <t>Oursine 120</t>
  </si>
  <si>
    <t>Ve pierre Ligue + 1811</t>
  </si>
  <si>
    <t>Ligue (2)</t>
  </si>
  <si>
    <t>M fb montmartre 87</t>
  </si>
  <si>
    <t xml:space="preserve">LIG </t>
  </si>
  <si>
    <t>M fb montmartre 8</t>
  </si>
  <si>
    <t>1/4 DE 3/4</t>
  </si>
  <si>
    <t>Martinod</t>
  </si>
  <si>
    <t>Tour d'auvergne 21</t>
  </si>
  <si>
    <t>pere et ayeul</t>
  </si>
  <si>
    <t>26-3-1818</t>
  </si>
  <si>
    <t>M argenteuil 52</t>
  </si>
  <si>
    <t>Richelieu 79</t>
  </si>
  <si>
    <t>Drouhin Martial Mt boulanmger</t>
  </si>
  <si>
    <t>Montmartre</t>
  </si>
  <si>
    <t>mari et 3 enf min</t>
  </si>
  <si>
    <t>DIV+VF</t>
  </si>
  <si>
    <t xml:space="preserve">MAU </t>
  </si>
  <si>
    <t>Maugas</t>
  </si>
  <si>
    <t>Marie Rosalie Catherine</t>
  </si>
  <si>
    <t>Bouchere</t>
  </si>
  <si>
    <t>Bac 51</t>
  </si>
  <si>
    <t>Vauquelin Toussaint Md Boucher</t>
  </si>
  <si>
    <t>Enfants 2 maris 1/2 usu</t>
  </si>
  <si>
    <t>Bd Madelaine</t>
  </si>
  <si>
    <t>Therese Margerite jeanne</t>
  </si>
  <si>
    <t>St honore 414</t>
  </si>
  <si>
    <t>ve Fr Bouastre</t>
  </si>
  <si>
    <t>Pere mere soeur</t>
  </si>
  <si>
    <t>M St honore 314</t>
  </si>
  <si>
    <t>MAV</t>
  </si>
  <si>
    <t>Meaux de St Marc</t>
  </si>
  <si>
    <t>Jacqueline eleonore</t>
  </si>
  <si>
    <t>Rebais (S&amp;M)</t>
  </si>
  <si>
    <t>Quesnier aleandre constantin</t>
  </si>
  <si>
    <t>Ville leveque</t>
  </si>
  <si>
    <t>MEL</t>
  </si>
  <si>
    <t>MEILLERAUD</t>
  </si>
  <si>
    <t xml:space="preserve">Louis Etienne </t>
  </si>
  <si>
    <t>tailleur</t>
  </si>
  <si>
    <t>r Richelieu, 52 (2° arr)</t>
  </si>
  <si>
    <t>ép. HALLE, Anne Marie</t>
  </si>
  <si>
    <t>ve=1/4+ses 3 enf mineurs</t>
  </si>
  <si>
    <t>Mehul</t>
  </si>
  <si>
    <t>Compositeur de musique</t>
  </si>
  <si>
    <t>Montholon 26</t>
  </si>
  <si>
    <t>Gastaldi Marie Madelaine Josephine</t>
  </si>
  <si>
    <t>Soeur et ve</t>
  </si>
  <si>
    <t>17-11-1819</t>
  </si>
  <si>
    <t xml:space="preserve">MER </t>
  </si>
  <si>
    <t>VE+EP</t>
  </si>
  <si>
    <t xml:space="preserve">MES </t>
  </si>
  <si>
    <t>MESNIL</t>
  </si>
  <si>
    <t>Michel François</t>
  </si>
  <si>
    <t>horloger</t>
  </si>
  <si>
    <t>r Neuve St Marc, 1 (2° arr)</t>
  </si>
  <si>
    <t>sa sœur dentelière à Dieppe</t>
  </si>
  <si>
    <t>MichelOt</t>
  </si>
  <si>
    <t>Estelle Eleonore</t>
  </si>
  <si>
    <t>Ste croix 10</t>
  </si>
  <si>
    <t>Berthamy pierre Auguste</t>
  </si>
  <si>
    <t>Fils Min et Mari 1/2 usu</t>
  </si>
  <si>
    <t>5-5-18181</t>
  </si>
  <si>
    <t>Fb poissoniere 1</t>
  </si>
  <si>
    <t>Vf Marie Madelaine Caillot</t>
  </si>
  <si>
    <t>20-1-1818 au 3eme arr</t>
  </si>
  <si>
    <t xml:space="preserve">MIL </t>
  </si>
  <si>
    <t>Henri</t>
  </si>
  <si>
    <t>r des Italiens, 1 (2° arr)</t>
  </si>
  <si>
    <t>divorcé de Haut, Anne Madeleine, marié à GOYON, Marie Claudine</t>
  </si>
  <si>
    <t>sa ve pr 1/4 + sa fille mineure</t>
  </si>
  <si>
    <t>MIM</t>
  </si>
  <si>
    <t>MOG</t>
  </si>
  <si>
    <t>Montmorency Laval</t>
  </si>
  <si>
    <t>Anne Alexandre Marie Sulpice</t>
  </si>
  <si>
    <t>Duc Premier Baron Chretien</t>
  </si>
  <si>
    <t>Joubert 37</t>
  </si>
  <si>
    <t>Louise Marie Henriette de Montmorency Luxembourg</t>
  </si>
  <si>
    <t>Fils aine (cadet renonce a la suc)</t>
  </si>
  <si>
    <t>1/2 M madelaine 17 et Madelaine 19</t>
  </si>
  <si>
    <t>19-9-1817</t>
  </si>
  <si>
    <t xml:space="preserve">MONT </t>
  </si>
  <si>
    <t>MORX</t>
  </si>
  <si>
    <t>MORG</t>
  </si>
  <si>
    <t xml:space="preserve">MOUL </t>
  </si>
  <si>
    <t>Moulhineau</t>
  </si>
  <si>
    <t>Marie Claire</t>
  </si>
  <si>
    <t>r du Moulin, 11 (2°)</t>
  </si>
  <si>
    <t>ép. GHISELAIN, Pierre, négociant (absent)</t>
  </si>
  <si>
    <t>2 filles mineures</t>
  </si>
  <si>
    <t>St Jacques 218</t>
  </si>
  <si>
    <t>Vincent francois</t>
  </si>
  <si>
    <t>Coquenard 15</t>
  </si>
  <si>
    <t>Nau</t>
  </si>
  <si>
    <t>Therese</t>
  </si>
  <si>
    <t>Pont au chous 17</t>
  </si>
  <si>
    <t>Ve j-b Andrieu +26-8-1814</t>
  </si>
  <si>
    <t>Filles 3</t>
  </si>
  <si>
    <t>Necker</t>
  </si>
  <si>
    <t>Anne Louise Germaine</t>
  </si>
  <si>
    <t>Nve des Mathurins 9</t>
  </si>
  <si>
    <t>Ve Eric Magnus Baron de Stael Holbein</t>
  </si>
  <si>
    <t>6-1-1818</t>
  </si>
  <si>
    <t>Nezon</t>
  </si>
  <si>
    <t>Prop rentiere</t>
  </si>
  <si>
    <t>clichy 23</t>
  </si>
  <si>
    <t>Audiffret charles Andre Neg Lyon</t>
  </si>
  <si>
    <t>Mari 1/2 usu fils prop</t>
  </si>
  <si>
    <t>28-10-1817</t>
  </si>
  <si>
    <t>M clichy 23</t>
  </si>
  <si>
    <t>NIB</t>
  </si>
  <si>
    <t>Nivert</t>
  </si>
  <si>
    <t>Joubert 9</t>
  </si>
  <si>
    <t>Adrien Francois Girard Sellier Carrossier prop</t>
  </si>
  <si>
    <t>Maris Usu 1/2 fille 1 p</t>
  </si>
  <si>
    <t>M joubert 9</t>
  </si>
  <si>
    <t>Offner</t>
  </si>
  <si>
    <t>Paradis 18</t>
  </si>
  <si>
    <t>1/2 M fb roule 58</t>
  </si>
  <si>
    <t>Parthon Van Adken</t>
  </si>
  <si>
    <t>Prop X neg</t>
  </si>
  <si>
    <t>Joubert 17</t>
  </si>
  <si>
    <t>Van Adken Marie Antoineette</t>
  </si>
  <si>
    <t>Fils min 1</t>
  </si>
  <si>
    <t>Pelletier</t>
  </si>
  <si>
    <t>St peres 60</t>
  </si>
  <si>
    <t>Lesueur gregoire prop</t>
  </si>
  <si>
    <t>mari 1/4 p 1/4 usu fille 1 3/4p</t>
  </si>
  <si>
    <t>M Rochechouart 11</t>
  </si>
  <si>
    <t>Pelletier de Chambure</t>
  </si>
  <si>
    <t>Marie Angelique elisabeth</t>
  </si>
  <si>
    <t>Reynaud Benoit Hilaire Baron Marechal de camp</t>
  </si>
  <si>
    <t>Cette</t>
  </si>
  <si>
    <t>Perichon</t>
  </si>
  <si>
    <t>Angelique Avoye</t>
  </si>
  <si>
    <t>Champs Elyseee</t>
  </si>
  <si>
    <t>Jean Clement francois Tocquigny depuis 26 ans</t>
  </si>
  <si>
    <t>A nogent sur seine</t>
  </si>
  <si>
    <t>PELL</t>
  </si>
  <si>
    <t>Proprietaire</t>
  </si>
  <si>
    <t>Therese 2</t>
  </si>
  <si>
    <t>Marie Genevieve Poultier</t>
  </si>
  <si>
    <t>12-9-1817</t>
  </si>
  <si>
    <t xml:space="preserve">VE </t>
  </si>
  <si>
    <t>Pivier</t>
  </si>
  <si>
    <t>Jeanne Begtzz</t>
  </si>
  <si>
    <t>Buffault 21</t>
  </si>
  <si>
    <t>lagardette francois</t>
  </si>
  <si>
    <t>mari 1/4 enfants 2 3/4</t>
  </si>
  <si>
    <t>20.3.1818</t>
  </si>
  <si>
    <t>Poissonier de Prulay</t>
  </si>
  <si>
    <t>Baron</t>
  </si>
  <si>
    <t>Caumartin 10</t>
  </si>
  <si>
    <t>dubois</t>
  </si>
  <si>
    <t>POIsson</t>
  </si>
  <si>
    <t>LEBr</t>
  </si>
  <si>
    <t>PERrot</t>
  </si>
  <si>
    <t>CATHERINE GENEVeIVE</t>
  </si>
  <si>
    <t>2-10-1818</t>
  </si>
  <si>
    <t>2-10-1819</t>
  </si>
  <si>
    <t>VERo</t>
  </si>
  <si>
    <t>Lievois</t>
  </si>
  <si>
    <t>mare? ou veuf</t>
  </si>
  <si>
    <t xml:space="preserve">son fils mineur ss la tutelle de son oncle ? </t>
  </si>
  <si>
    <t>MOReL</t>
  </si>
  <si>
    <t>LACouture</t>
  </si>
  <si>
    <t>Chretien</t>
  </si>
  <si>
    <t>REMy</t>
  </si>
  <si>
    <t>de Canclaux de</t>
  </si>
  <si>
    <t>Mauprive (maupriver)</t>
  </si>
  <si>
    <t>Therese Marguerite Jeanne</t>
  </si>
  <si>
    <t>x</t>
  </si>
  <si>
    <t>BUI</t>
  </si>
  <si>
    <t>BUN</t>
  </si>
  <si>
    <t>BUR</t>
  </si>
  <si>
    <t>BUT</t>
  </si>
  <si>
    <t>CAI</t>
  </si>
  <si>
    <t>CAM</t>
  </si>
  <si>
    <t>CAV</t>
  </si>
  <si>
    <t>CHE</t>
  </si>
  <si>
    <t>CLE</t>
  </si>
  <si>
    <t>CLO</t>
  </si>
  <si>
    <t>COL</t>
  </si>
  <si>
    <t>COM</t>
  </si>
  <si>
    <t>CON</t>
  </si>
  <si>
    <t>COQ</t>
  </si>
  <si>
    <t>COR</t>
  </si>
  <si>
    <t>COU</t>
  </si>
  <si>
    <t>CRO</t>
  </si>
  <si>
    <t>DAI</t>
  </si>
  <si>
    <t>DAR</t>
  </si>
  <si>
    <t>DEB</t>
  </si>
  <si>
    <t>DEC</t>
  </si>
  <si>
    <t>DEG</t>
  </si>
  <si>
    <t>DEL</t>
  </si>
  <si>
    <t>DEM</t>
  </si>
  <si>
    <t>DEN</t>
  </si>
  <si>
    <t>DEP</t>
  </si>
  <si>
    <t>DER</t>
  </si>
  <si>
    <t>DES</t>
  </si>
  <si>
    <t>DEV</t>
  </si>
  <si>
    <t>DIO</t>
  </si>
  <si>
    <t>DON</t>
  </si>
  <si>
    <t>DOR</t>
  </si>
  <si>
    <t>DOU</t>
  </si>
  <si>
    <t>DRE</t>
  </si>
  <si>
    <t>DRO</t>
  </si>
  <si>
    <t>DUB</t>
  </si>
  <si>
    <t>DUC</t>
  </si>
  <si>
    <t>DUM</t>
  </si>
  <si>
    <t>DUP</t>
  </si>
  <si>
    <t>DUR</t>
  </si>
  <si>
    <t>DUS</t>
  </si>
  <si>
    <t>DUV</t>
  </si>
  <si>
    <t>EME</t>
  </si>
  <si>
    <t>FAB</t>
  </si>
  <si>
    <t>FAR</t>
  </si>
  <si>
    <t>FAU</t>
  </si>
  <si>
    <t>FAV</t>
  </si>
  <si>
    <t>FEL</t>
  </si>
  <si>
    <t xml:space="preserve">FER </t>
  </si>
  <si>
    <t>FIL</t>
  </si>
  <si>
    <t>FIN</t>
  </si>
  <si>
    <t>FLA</t>
  </si>
  <si>
    <t>FLE</t>
  </si>
  <si>
    <t>FLO</t>
  </si>
  <si>
    <t>FOR</t>
  </si>
  <si>
    <t>FOS</t>
  </si>
  <si>
    <t>FOU</t>
  </si>
  <si>
    <t>FRA</t>
  </si>
  <si>
    <t>GAM</t>
  </si>
  <si>
    <t>GAR</t>
  </si>
  <si>
    <t>LAC</t>
  </si>
  <si>
    <t>LEFEB</t>
  </si>
  <si>
    <t>LEFEV</t>
  </si>
  <si>
    <t>LEFI</t>
  </si>
  <si>
    <t>LEFR</t>
  </si>
  <si>
    <t>Joseph Antoine</t>
  </si>
  <si>
    <t>PERE</t>
  </si>
  <si>
    <t>fille majeure</t>
  </si>
  <si>
    <t>ROU</t>
  </si>
  <si>
    <t>TES</t>
  </si>
  <si>
    <t>TRO</t>
  </si>
  <si>
    <t>TRA</t>
  </si>
  <si>
    <t>VAL</t>
  </si>
  <si>
    <t>r de Tournon, 12</t>
  </si>
  <si>
    <t>BOC</t>
  </si>
  <si>
    <t>BOD</t>
  </si>
  <si>
    <t>son gendre</t>
  </si>
  <si>
    <t>BOUCHER</t>
  </si>
  <si>
    <t>CHAR</t>
  </si>
  <si>
    <t>CHAP</t>
  </si>
  <si>
    <t>CHAS</t>
  </si>
  <si>
    <t>CHAT</t>
  </si>
  <si>
    <t>CHAU</t>
  </si>
  <si>
    <t>Pierre Marie</t>
  </si>
  <si>
    <t>CHAV</t>
  </si>
  <si>
    <t>CHEN</t>
  </si>
  <si>
    <t>CHER</t>
  </si>
  <si>
    <t>CHEV</t>
  </si>
  <si>
    <t>COS</t>
  </si>
  <si>
    <t>VERN</t>
  </si>
  <si>
    <t>VERO</t>
  </si>
  <si>
    <t>1 MEGISSERIE</t>
  </si>
  <si>
    <t>PETIT LION ET ROUTE ZZ</t>
  </si>
  <si>
    <t>VERR</t>
  </si>
  <si>
    <t>VERS</t>
  </si>
  <si>
    <t>VIA</t>
  </si>
  <si>
    <t>VID</t>
  </si>
  <si>
    <t>VIE</t>
  </si>
  <si>
    <t>VIG</t>
  </si>
  <si>
    <t>VIL</t>
  </si>
  <si>
    <t>WIL</t>
  </si>
  <si>
    <t>VIN</t>
  </si>
  <si>
    <t>VIS</t>
  </si>
  <si>
    <t>VOL</t>
  </si>
  <si>
    <t>Y</t>
  </si>
  <si>
    <t>x com police a paris</t>
  </si>
  <si>
    <t>four 17</t>
  </si>
  <si>
    <t>vf anne Sophie heclan</t>
  </si>
  <si>
    <t>4 her</t>
  </si>
  <si>
    <t>M four 37</t>
  </si>
  <si>
    <t>Postes 36</t>
  </si>
  <si>
    <t>Levauche</t>
  </si>
  <si>
    <t>Yves Pierrre</t>
  </si>
  <si>
    <t>Pharmacien major</t>
  </si>
  <si>
    <t>Franc bourgeois 5</t>
  </si>
  <si>
    <t>24-11-1817</t>
  </si>
  <si>
    <t>7-10-1817</t>
  </si>
  <si>
    <t>6-8-1817</t>
  </si>
  <si>
    <t>enfants 5</t>
  </si>
  <si>
    <t>Pierre Charles</t>
  </si>
  <si>
    <t>Dovin</t>
  </si>
  <si>
    <t>jardin du luxembourg</t>
  </si>
  <si>
    <t>Limonadier glacier</t>
  </si>
  <si>
    <t>Guendet  Suzanne Francoise</t>
  </si>
  <si>
    <t>Terr Enfer</t>
  </si>
  <si>
    <t>fe et fille</t>
  </si>
  <si>
    <t>soeur</t>
  </si>
  <si>
    <t>AT</t>
  </si>
  <si>
    <t>BARO</t>
  </si>
  <si>
    <t>macon</t>
  </si>
  <si>
    <t>Besson</t>
  </si>
  <si>
    <t>entrep bat</t>
  </si>
  <si>
    <t>CHAB</t>
  </si>
  <si>
    <t>neg</t>
  </si>
  <si>
    <t>COE</t>
  </si>
  <si>
    <t>Lu</t>
  </si>
  <si>
    <t>Couturier</t>
  </si>
  <si>
    <t>Dubois</t>
  </si>
  <si>
    <t>Louis etienne</t>
  </si>
  <si>
    <t>FAC</t>
  </si>
  <si>
    <t>Gabillot</t>
  </si>
  <si>
    <t>GARO</t>
  </si>
  <si>
    <t>Rene</t>
  </si>
  <si>
    <t>GUIA</t>
  </si>
  <si>
    <t>HIN</t>
  </si>
  <si>
    <t>Vieux augustin 32</t>
  </si>
  <si>
    <t>Lacouture</t>
  </si>
  <si>
    <t>mari don</t>
  </si>
  <si>
    <t>Marie Anne Charlotte</t>
  </si>
  <si>
    <t>LEG</t>
  </si>
  <si>
    <t>LER</t>
  </si>
  <si>
    <t>LEM</t>
  </si>
  <si>
    <t>LAT</t>
  </si>
  <si>
    <t>pretre</t>
  </si>
  <si>
    <t>BAN</t>
  </si>
  <si>
    <t>Berard</t>
  </si>
  <si>
    <t>BERTA</t>
  </si>
  <si>
    <t>Soeurs 2</t>
  </si>
  <si>
    <t>CHAI</t>
  </si>
  <si>
    <t>desn</t>
  </si>
  <si>
    <t>fe</t>
  </si>
  <si>
    <t>desroques</t>
  </si>
  <si>
    <t>Louise jacqueline</t>
  </si>
  <si>
    <t>amamdiers</t>
  </si>
  <si>
    <t>ve Dupont JJ</t>
  </si>
  <si>
    <t>20-11-1819</t>
  </si>
  <si>
    <t>dest</t>
  </si>
  <si>
    <t>dud</t>
  </si>
  <si>
    <t>Duf</t>
  </si>
  <si>
    <t>duh</t>
  </si>
  <si>
    <t>dum</t>
  </si>
  <si>
    <t>dupo</t>
  </si>
  <si>
    <t>dupu</t>
  </si>
  <si>
    <t>Dura</t>
  </si>
  <si>
    <t>Quincampoix</t>
  </si>
  <si>
    <t>Dussy</t>
  </si>
  <si>
    <t>Fr Jo</t>
  </si>
  <si>
    <t>dut</t>
  </si>
  <si>
    <t>duv</t>
  </si>
  <si>
    <t>Ec</t>
  </si>
  <si>
    <t>El</t>
  </si>
  <si>
    <t>Feh</t>
  </si>
  <si>
    <t>Fer</t>
  </si>
  <si>
    <t>Fet</t>
  </si>
  <si>
    <t>Fev</t>
  </si>
  <si>
    <t>Fia</t>
  </si>
  <si>
    <t>Fil</t>
  </si>
  <si>
    <t>Fle</t>
  </si>
  <si>
    <t>Fli</t>
  </si>
  <si>
    <t>Foi</t>
  </si>
  <si>
    <t>Em</t>
  </si>
  <si>
    <t>Fab</t>
  </si>
  <si>
    <t>Pavee SaDA</t>
  </si>
  <si>
    <t>Fal</t>
  </si>
  <si>
    <t>far</t>
  </si>
  <si>
    <t>Fav</t>
  </si>
  <si>
    <t>Fas</t>
  </si>
  <si>
    <t>Fon</t>
  </si>
  <si>
    <t>Four</t>
  </si>
  <si>
    <t>ve Daniel de Pernay</t>
  </si>
  <si>
    <t>Fre</t>
  </si>
  <si>
    <t>Gerard</t>
  </si>
  <si>
    <t>8-12-1827</t>
  </si>
  <si>
    <t>Dupuy</t>
  </si>
  <si>
    <t>Anne Marguerite</t>
  </si>
  <si>
    <t>Felix</t>
  </si>
  <si>
    <t>FOI</t>
  </si>
  <si>
    <t>GAUC</t>
  </si>
  <si>
    <t>ses enf</t>
  </si>
  <si>
    <t>MORE</t>
  </si>
  <si>
    <t>Morel</t>
  </si>
  <si>
    <t>neveux nieces</t>
  </si>
  <si>
    <t>MORI</t>
  </si>
  <si>
    <t>CHAUME</t>
  </si>
  <si>
    <t>MORV</t>
  </si>
  <si>
    <t>MOT</t>
  </si>
  <si>
    <t>MOUI</t>
  </si>
  <si>
    <t>MUN</t>
  </si>
  <si>
    <t>NAI</t>
  </si>
  <si>
    <t>NAU</t>
  </si>
  <si>
    <t>fille min</t>
  </si>
  <si>
    <t>NEV</t>
  </si>
  <si>
    <t>NIC</t>
  </si>
  <si>
    <t>NOE</t>
  </si>
  <si>
    <t>NOL</t>
  </si>
  <si>
    <t>NON</t>
  </si>
  <si>
    <t>NOR</t>
  </si>
  <si>
    <t>NOU</t>
  </si>
  <si>
    <t>NOY</t>
  </si>
  <si>
    <t>harpe 15</t>
  </si>
  <si>
    <t>ve Eloy Jouan</t>
  </si>
  <si>
    <t>Grands augustin 20</t>
  </si>
  <si>
    <t>Mouffetard 218</t>
  </si>
  <si>
    <t>Paul Augustin Joseph</t>
  </si>
  <si>
    <t>Mt requetes cons d'etat</t>
  </si>
  <si>
    <t>st croix 1</t>
  </si>
  <si>
    <t>Debrossard aglae Louise etiennette</t>
  </si>
  <si>
    <t>Lamy</t>
  </si>
  <si>
    <t>Md vin</t>
  </si>
  <si>
    <t>Rosaluie Hoblet</t>
  </si>
  <si>
    <t>16-3-1818</t>
  </si>
  <si>
    <t>4-3-1820</t>
  </si>
  <si>
    <t>Mouffetard 269</t>
  </si>
  <si>
    <t>St etienne 35</t>
  </si>
  <si>
    <t>Harpe 80</t>
  </si>
  <si>
    <t>La servolle</t>
  </si>
  <si>
    <t>Fournee therese alexandrine</t>
  </si>
  <si>
    <t>mt Chaudronnier</t>
  </si>
  <si>
    <t>Mr Leprince 32</t>
  </si>
  <si>
    <t>FER</t>
  </si>
  <si>
    <t>FON</t>
  </si>
  <si>
    <t>FOUR</t>
  </si>
  <si>
    <t>Etienne</t>
  </si>
  <si>
    <t>FRE</t>
  </si>
  <si>
    <t>FRI</t>
  </si>
  <si>
    <t>FRO</t>
  </si>
  <si>
    <t>GAG</t>
  </si>
  <si>
    <t>Gaignant</t>
  </si>
  <si>
    <t>Francois Michel</t>
  </si>
  <si>
    <t>avocat</t>
  </si>
  <si>
    <t>Mathurins</t>
  </si>
  <si>
    <t>Galard de Bearn</t>
  </si>
  <si>
    <t>Angelique Gabrielle Marie</t>
  </si>
  <si>
    <t>Honore chevalier 9</t>
  </si>
  <si>
    <t>Ve Chastrain Paul jerome</t>
  </si>
  <si>
    <t>galard-bearn Marthe madel</t>
  </si>
  <si>
    <t>23-3-1818</t>
  </si>
  <si>
    <t>Gallard</t>
  </si>
  <si>
    <t>Clement Francois Amable</t>
  </si>
  <si>
    <t>Tenant hotel garni</t>
  </si>
  <si>
    <t>St Jean De Latran</t>
  </si>
  <si>
    <t>GAL</t>
  </si>
  <si>
    <t>GAN</t>
  </si>
  <si>
    <t>GOB</t>
  </si>
  <si>
    <t>Godard</t>
  </si>
  <si>
    <t>Julienne Marie Adelaide</t>
  </si>
  <si>
    <t>macons</t>
  </si>
  <si>
    <t>ve felix victor Dechvevriere</t>
  </si>
  <si>
    <t>Pite Tous Auguste meme adrese</t>
  </si>
  <si>
    <t>22-7-17</t>
  </si>
  <si>
    <t>GOD</t>
  </si>
  <si>
    <t>GOL</t>
  </si>
  <si>
    <t>GON</t>
  </si>
  <si>
    <t>GOS</t>
  </si>
  <si>
    <t>GOUF</t>
  </si>
  <si>
    <t>GARDETTE</t>
  </si>
  <si>
    <t>benoit</t>
  </si>
  <si>
    <t>HEB</t>
  </si>
  <si>
    <t>HEN</t>
  </si>
  <si>
    <t>GUIL</t>
  </si>
  <si>
    <t>SOEUR</t>
  </si>
  <si>
    <t>GUEN</t>
  </si>
  <si>
    <t>GARD</t>
  </si>
  <si>
    <t>HENN</t>
  </si>
  <si>
    <t>HERV</t>
  </si>
  <si>
    <t>JOR</t>
  </si>
  <si>
    <t>JOLY</t>
  </si>
  <si>
    <t>LARU</t>
  </si>
  <si>
    <t>LOUP</t>
  </si>
  <si>
    <t>1/2 de 2 m r de Varennes, 11 et 13</t>
  </si>
  <si>
    <t xml:space="preserve">BERN </t>
  </si>
  <si>
    <t>BEY</t>
  </si>
  <si>
    <t>BOB</t>
  </si>
  <si>
    <t>BONE</t>
  </si>
  <si>
    <t>BOUB</t>
  </si>
  <si>
    <t>BOURB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</si>
</sst>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C]d\-mmm;@"/>
    <numFmt numFmtId="181" formatCode="d/m;@"/>
  </numFmts>
  <fonts count="15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aramond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16" fontId="0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0" fontId="2" fillId="2" borderId="0" xfId="0" applyFont="1" applyFill="1" applyAlignment="1">
      <alignment/>
    </xf>
    <xf numFmtId="18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/>
    </xf>
    <xf numFmtId="181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17" fontId="2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0" fillId="5" borderId="0" xfId="0" applyFill="1" applyAlignment="1">
      <alignment/>
    </xf>
    <xf numFmtId="0" fontId="13" fillId="0" borderId="0" xfId="0" applyFont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88"/>
  <sheetViews>
    <sheetView tabSelected="1" workbookViewId="0" topLeftCell="A1">
      <pane xSplit="7" ySplit="1" topLeftCell="H344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3489" sqref="K3489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3.28125" style="0" customWidth="1"/>
    <col min="4" max="4" width="6.8515625" style="0" customWidth="1"/>
    <col min="5" max="5" width="6.28125" style="0" customWidth="1"/>
    <col min="6" max="6" width="5.28125" style="0" customWidth="1"/>
    <col min="7" max="7" width="6.57421875" style="0" customWidth="1"/>
    <col min="8" max="8" width="3.421875" style="0" customWidth="1"/>
    <col min="9" max="9" width="9.00390625" style="0" customWidth="1"/>
    <col min="10" max="10" width="8.00390625" style="0" customWidth="1"/>
    <col min="11" max="11" width="4.28125" style="0" customWidth="1"/>
    <col min="12" max="12" width="11.00390625" style="43" customWidth="1"/>
    <col min="13" max="13" width="15.421875" style="41" customWidth="1"/>
    <col min="14" max="14" width="4.7109375" style="41" customWidth="1"/>
    <col min="15" max="15" width="4.8515625" style="41" customWidth="1"/>
    <col min="16" max="16" width="3.421875" style="41" customWidth="1"/>
    <col min="17" max="17" width="4.421875" style="41" customWidth="1"/>
    <col min="18" max="18" width="4.8515625" style="41" customWidth="1"/>
    <col min="19" max="19" width="18.28125" style="0" customWidth="1"/>
    <col min="20" max="20" width="11.28125" style="0" customWidth="1"/>
    <col min="21" max="21" width="19.8515625" style="0" customWidth="1"/>
    <col min="22" max="22" width="8.421875" style="0" customWidth="1"/>
    <col min="23" max="23" width="8.421875" style="0" hidden="1" customWidth="1"/>
    <col min="24" max="24" width="4.8515625" style="0" customWidth="1"/>
    <col min="25" max="25" width="11.57421875" style="0" customWidth="1"/>
    <col min="26" max="26" width="1.1484375" style="0" customWidth="1"/>
    <col min="27" max="27" width="11.57421875" style="0" customWidth="1"/>
    <col min="28" max="28" width="1.8515625" style="0" customWidth="1"/>
    <col min="29" max="29" width="5.8515625" style="0" customWidth="1"/>
    <col min="30" max="30" width="0.9921875" style="0" customWidth="1"/>
    <col min="31" max="31" width="6.421875" style="0" customWidth="1"/>
    <col min="32" max="32" width="1.421875" style="0" customWidth="1"/>
    <col min="34" max="16384" width="11.57421875" style="0" customWidth="1"/>
  </cols>
  <sheetData>
    <row r="1" spans="1:34" ht="15">
      <c r="A1" t="s">
        <v>1514</v>
      </c>
      <c r="B1" t="s">
        <v>1515</v>
      </c>
      <c r="C1" t="s">
        <v>877</v>
      </c>
      <c r="D1" t="s">
        <v>1516</v>
      </c>
      <c r="E1" t="s">
        <v>1517</v>
      </c>
      <c r="F1" t="s">
        <v>357</v>
      </c>
      <c r="G1" t="s">
        <v>358</v>
      </c>
      <c r="H1" t="s">
        <v>1539</v>
      </c>
      <c r="I1" t="s">
        <v>1518</v>
      </c>
      <c r="J1" t="s">
        <v>1519</v>
      </c>
      <c r="K1" t="s">
        <v>3146</v>
      </c>
      <c r="L1" s="43" t="s">
        <v>1520</v>
      </c>
      <c r="M1" s="41" t="s">
        <v>1521</v>
      </c>
      <c r="N1" s="41" t="s">
        <v>1522</v>
      </c>
      <c r="O1" s="41" t="s">
        <v>1523</v>
      </c>
      <c r="P1" s="41" t="s">
        <v>1525</v>
      </c>
      <c r="Q1" s="42" t="s">
        <v>1526</v>
      </c>
      <c r="R1" s="41" t="s">
        <v>1524</v>
      </c>
      <c r="S1" t="s">
        <v>1528</v>
      </c>
      <c r="T1" t="s">
        <v>1533</v>
      </c>
      <c r="U1" t="s">
        <v>1527</v>
      </c>
      <c r="V1" t="s">
        <v>1529</v>
      </c>
      <c r="W1" t="s">
        <v>3147</v>
      </c>
      <c r="X1" t="s">
        <v>4641</v>
      </c>
      <c r="Y1" t="s">
        <v>1538</v>
      </c>
      <c r="Z1" t="s">
        <v>1530</v>
      </c>
      <c r="AA1" t="s">
        <v>1531</v>
      </c>
      <c r="AB1" t="s">
        <v>1532</v>
      </c>
      <c r="AC1" t="s">
        <v>1534</v>
      </c>
      <c r="AD1" t="s">
        <v>1535</v>
      </c>
      <c r="AE1" t="s">
        <v>1536</v>
      </c>
      <c r="AF1" t="s">
        <v>1537</v>
      </c>
      <c r="AG1" s="14" t="s">
        <v>2339</v>
      </c>
      <c r="AH1" t="s">
        <v>359</v>
      </c>
    </row>
    <row r="2" spans="1:34" ht="15.75">
      <c r="A2" s="29">
        <f aca="true" t="shared" si="0" ref="A2:A65">I2+J2*20*X2</f>
        <v>60000</v>
      </c>
      <c r="B2" s="2">
        <v>437</v>
      </c>
      <c r="C2" s="2">
        <v>8</v>
      </c>
      <c r="D2" s="2">
        <v>1817</v>
      </c>
      <c r="E2">
        <v>7988</v>
      </c>
      <c r="F2" s="2">
        <v>1</v>
      </c>
      <c r="H2" t="s">
        <v>1541</v>
      </c>
      <c r="I2" s="2">
        <v>0</v>
      </c>
      <c r="J2" s="2">
        <v>3000</v>
      </c>
      <c r="K2" s="2" t="s">
        <v>884</v>
      </c>
      <c r="L2" s="43" t="s">
        <v>4157</v>
      </c>
      <c r="M2" s="41" t="s">
        <v>4158</v>
      </c>
      <c r="O2" s="41" t="s">
        <v>4159</v>
      </c>
      <c r="P2" s="41">
        <v>18</v>
      </c>
      <c r="Q2" s="41">
        <v>1</v>
      </c>
      <c r="R2" s="41" t="s">
        <v>1547</v>
      </c>
      <c r="S2" t="s">
        <v>4160</v>
      </c>
      <c r="T2" t="s">
        <v>4161</v>
      </c>
      <c r="V2" t="s">
        <v>4162</v>
      </c>
      <c r="X2">
        <v>1</v>
      </c>
      <c r="Y2" t="s">
        <v>4163</v>
      </c>
      <c r="AH2" t="s">
        <v>359</v>
      </c>
    </row>
    <row r="3" spans="1:34" ht="15.75">
      <c r="A3" s="29">
        <f t="shared" si="0"/>
        <v>49000</v>
      </c>
      <c r="B3" s="30">
        <v>557</v>
      </c>
      <c r="C3" s="30">
        <v>1</v>
      </c>
      <c r="D3" s="30">
        <v>1817</v>
      </c>
      <c r="E3">
        <v>11660</v>
      </c>
      <c r="F3" s="30">
        <v>1</v>
      </c>
      <c r="H3" t="s">
        <v>1541</v>
      </c>
      <c r="I3" s="30">
        <v>0</v>
      </c>
      <c r="J3" s="30">
        <f>75000/20+23000/20</f>
        <v>4900</v>
      </c>
      <c r="K3" s="30" t="s">
        <v>884</v>
      </c>
      <c r="L3" s="43" t="s">
        <v>4157</v>
      </c>
      <c r="M3" s="41" t="s">
        <v>4158</v>
      </c>
      <c r="O3" s="41" t="s">
        <v>4159</v>
      </c>
      <c r="P3" s="41">
        <v>18</v>
      </c>
      <c r="Q3" s="41">
        <v>1</v>
      </c>
      <c r="S3" t="s">
        <v>4160</v>
      </c>
      <c r="T3" t="s">
        <v>4161</v>
      </c>
      <c r="V3" t="s">
        <v>4162</v>
      </c>
      <c r="X3">
        <v>0.5</v>
      </c>
      <c r="Y3" t="s">
        <v>1119</v>
      </c>
      <c r="AH3" t="s">
        <v>359</v>
      </c>
    </row>
    <row r="4" spans="1:34" ht="15.75">
      <c r="A4" s="29">
        <f t="shared" si="0"/>
        <v>24000</v>
      </c>
      <c r="B4" s="6">
        <v>413</v>
      </c>
      <c r="C4">
        <v>5</v>
      </c>
      <c r="D4" s="2">
        <v>1817</v>
      </c>
      <c r="E4">
        <v>1</v>
      </c>
      <c r="F4">
        <v>2</v>
      </c>
      <c r="H4" t="s">
        <v>1540</v>
      </c>
      <c r="J4">
        <f>24000/20</f>
        <v>1200</v>
      </c>
      <c r="K4" t="s">
        <v>862</v>
      </c>
      <c r="L4" s="43" t="s">
        <v>4255</v>
      </c>
      <c r="M4" s="41" t="s">
        <v>4256</v>
      </c>
      <c r="N4" s="41" t="s">
        <v>851</v>
      </c>
      <c r="O4" s="41" t="s">
        <v>4257</v>
      </c>
      <c r="P4" s="41">
        <v>3</v>
      </c>
      <c r="Q4" s="41">
        <v>1</v>
      </c>
      <c r="R4" s="41" t="s">
        <v>1199</v>
      </c>
      <c r="V4" t="s">
        <v>4258</v>
      </c>
      <c r="X4">
        <v>1</v>
      </c>
      <c r="Y4" t="s">
        <v>4259</v>
      </c>
      <c r="AH4" t="s">
        <v>359</v>
      </c>
    </row>
    <row r="5" spans="1:34" ht="15.75">
      <c r="A5" s="29">
        <f t="shared" si="0"/>
        <v>3000</v>
      </c>
      <c r="B5" s="6">
        <v>936</v>
      </c>
      <c r="C5">
        <v>5</v>
      </c>
      <c r="D5" s="2">
        <v>1817</v>
      </c>
      <c r="E5">
        <v>2</v>
      </c>
      <c r="F5">
        <v>2</v>
      </c>
      <c r="H5" t="s">
        <v>1540</v>
      </c>
      <c r="I5" s="2">
        <v>3000</v>
      </c>
      <c r="J5" s="2">
        <v>0</v>
      </c>
      <c r="K5" s="2" t="s">
        <v>862</v>
      </c>
      <c r="L5" s="43" t="s">
        <v>4255</v>
      </c>
      <c r="P5" s="41">
        <v>3</v>
      </c>
      <c r="Q5" s="41">
        <v>1</v>
      </c>
      <c r="R5" s="41" t="s">
        <v>1199</v>
      </c>
      <c r="AH5" t="s">
        <v>359</v>
      </c>
    </row>
    <row r="6" spans="1:34" ht="15.75">
      <c r="A6" s="29">
        <f t="shared" si="0"/>
        <v>42460</v>
      </c>
      <c r="B6" s="6" t="s">
        <v>4262</v>
      </c>
      <c r="C6">
        <v>5</v>
      </c>
      <c r="D6" s="2">
        <v>1817</v>
      </c>
      <c r="E6">
        <v>8</v>
      </c>
      <c r="F6">
        <v>3</v>
      </c>
      <c r="H6" t="s">
        <v>1540</v>
      </c>
      <c r="I6" s="2">
        <v>0</v>
      </c>
      <c r="J6" s="2">
        <f>(12000+12660+17800)/20</f>
        <v>2123</v>
      </c>
      <c r="K6" s="2" t="s">
        <v>862</v>
      </c>
      <c r="L6" s="43" t="s">
        <v>3197</v>
      </c>
      <c r="M6" s="41" t="s">
        <v>3198</v>
      </c>
      <c r="N6" s="41" t="s">
        <v>3199</v>
      </c>
      <c r="O6" s="41" t="s">
        <v>3200</v>
      </c>
      <c r="P6" s="41">
        <v>1</v>
      </c>
      <c r="Q6" s="41">
        <v>4</v>
      </c>
      <c r="R6" s="41">
        <v>58</v>
      </c>
      <c r="V6" t="s">
        <v>3201</v>
      </c>
      <c r="X6">
        <v>1</v>
      </c>
      <c r="AH6" t="s">
        <v>359</v>
      </c>
    </row>
    <row r="7" spans="1:34" ht="15.75">
      <c r="A7" s="29">
        <f t="shared" si="0"/>
        <v>29200</v>
      </c>
      <c r="B7" s="31">
        <v>549</v>
      </c>
      <c r="C7" s="31">
        <v>1</v>
      </c>
      <c r="D7" s="31">
        <v>1817</v>
      </c>
      <c r="E7">
        <v>11323</v>
      </c>
      <c r="F7" s="31">
        <v>3</v>
      </c>
      <c r="G7" s="9"/>
      <c r="H7" s="9" t="s">
        <v>1540</v>
      </c>
      <c r="I7" s="31">
        <v>0</v>
      </c>
      <c r="J7" s="31">
        <v>1460</v>
      </c>
      <c r="K7" s="30" t="s">
        <v>862</v>
      </c>
      <c r="L7" s="43" t="s">
        <v>3197</v>
      </c>
      <c r="M7" s="43" t="s">
        <v>2704</v>
      </c>
      <c r="N7" s="43" t="s">
        <v>1012</v>
      </c>
      <c r="O7" s="43" t="s">
        <v>1013</v>
      </c>
      <c r="P7" s="43">
        <v>1</v>
      </c>
      <c r="Q7" s="43">
        <v>4</v>
      </c>
      <c r="R7" s="43" t="s">
        <v>1547</v>
      </c>
      <c r="S7" s="9" t="s">
        <v>1376</v>
      </c>
      <c r="T7" s="9" t="s">
        <v>4929</v>
      </c>
      <c r="U7" s="9"/>
      <c r="V7" s="9" t="s">
        <v>3201</v>
      </c>
      <c r="W7" s="9"/>
      <c r="X7" s="31">
        <v>1</v>
      </c>
      <c r="Y7" t="s">
        <v>1014</v>
      </c>
      <c r="AA7" s="33"/>
      <c r="AB7" s="30"/>
      <c r="AD7" s="30"/>
      <c r="AH7" t="s">
        <v>359</v>
      </c>
    </row>
    <row r="8" spans="1:34" ht="15.75">
      <c r="A8" s="29">
        <f t="shared" si="0"/>
        <v>0</v>
      </c>
      <c r="B8" s="6">
        <v>937</v>
      </c>
      <c r="C8">
        <v>5</v>
      </c>
      <c r="D8" s="2">
        <v>1817</v>
      </c>
      <c r="E8">
        <v>21</v>
      </c>
      <c r="F8">
        <v>5</v>
      </c>
      <c r="H8" t="s">
        <v>1541</v>
      </c>
      <c r="I8" s="2">
        <v>0</v>
      </c>
      <c r="J8" s="2">
        <v>0</v>
      </c>
      <c r="K8" s="2" t="s">
        <v>862</v>
      </c>
      <c r="L8" s="43" t="s">
        <v>3202</v>
      </c>
      <c r="M8" s="41" t="s">
        <v>3204</v>
      </c>
      <c r="O8" s="41" t="s">
        <v>3205</v>
      </c>
      <c r="P8" s="41">
        <v>22</v>
      </c>
      <c r="Q8" s="41">
        <v>11</v>
      </c>
      <c r="R8" s="41">
        <v>44</v>
      </c>
      <c r="V8" s="16" t="s">
        <v>3213</v>
      </c>
      <c r="AH8" t="s">
        <v>359</v>
      </c>
    </row>
    <row r="9" spans="1:34" ht="15.75">
      <c r="A9" s="29">
        <f t="shared" si="0"/>
        <v>180</v>
      </c>
      <c r="B9" s="2">
        <v>630</v>
      </c>
      <c r="C9" s="2">
        <v>9</v>
      </c>
      <c r="D9" s="2">
        <v>1817</v>
      </c>
      <c r="E9">
        <v>5681</v>
      </c>
      <c r="F9" s="2">
        <v>5</v>
      </c>
      <c r="G9" s="1"/>
      <c r="H9" t="s">
        <v>1541</v>
      </c>
      <c r="I9" s="2">
        <v>180</v>
      </c>
      <c r="J9" s="2">
        <v>0</v>
      </c>
      <c r="K9" s="2" t="s">
        <v>862</v>
      </c>
      <c r="L9" s="43" t="s">
        <v>3202</v>
      </c>
      <c r="P9" s="41">
        <v>22</v>
      </c>
      <c r="Q9" s="41">
        <v>11</v>
      </c>
      <c r="R9" s="41" t="s">
        <v>1547</v>
      </c>
      <c r="S9" t="s">
        <v>3321</v>
      </c>
      <c r="AH9" t="s">
        <v>359</v>
      </c>
    </row>
    <row r="10" spans="1:34" ht="15.75">
      <c r="A10" s="29">
        <f t="shared" si="0"/>
        <v>25947</v>
      </c>
      <c r="B10" s="8">
        <v>429</v>
      </c>
      <c r="C10" s="8">
        <v>8</v>
      </c>
      <c r="D10" s="8">
        <v>1817</v>
      </c>
      <c r="E10">
        <v>7673</v>
      </c>
      <c r="F10" s="8">
        <v>6</v>
      </c>
      <c r="G10" s="9"/>
      <c r="H10" s="9" t="s">
        <v>1541</v>
      </c>
      <c r="I10" s="8">
        <f>500+7447</f>
        <v>7947</v>
      </c>
      <c r="J10" s="8">
        <v>900</v>
      </c>
      <c r="K10" s="2" t="s">
        <v>862</v>
      </c>
      <c r="L10" s="43" t="s">
        <v>4074</v>
      </c>
      <c r="M10" s="41" t="s">
        <v>4075</v>
      </c>
      <c r="N10" s="41" t="s">
        <v>4076</v>
      </c>
      <c r="O10" s="41" t="s">
        <v>4077</v>
      </c>
      <c r="P10" s="41">
        <v>24</v>
      </c>
      <c r="Q10" s="41">
        <v>11</v>
      </c>
      <c r="R10" s="41">
        <v>43</v>
      </c>
      <c r="S10" s="11" t="s">
        <v>4078</v>
      </c>
      <c r="T10" s="11" t="s">
        <v>4079</v>
      </c>
      <c r="V10" s="11" t="s">
        <v>3158</v>
      </c>
      <c r="W10" s="11"/>
      <c r="X10">
        <v>1</v>
      </c>
      <c r="Y10" t="s">
        <v>4080</v>
      </c>
      <c r="AH10" t="s">
        <v>359</v>
      </c>
    </row>
    <row r="11" spans="1:34" ht="15.75">
      <c r="A11" s="29">
        <f t="shared" si="0"/>
        <v>18000</v>
      </c>
      <c r="B11" s="8">
        <v>727</v>
      </c>
      <c r="C11" s="8">
        <v>3</v>
      </c>
      <c r="D11" s="8">
        <v>1817</v>
      </c>
      <c r="E11">
        <v>9275</v>
      </c>
      <c r="F11" s="8">
        <v>6</v>
      </c>
      <c r="G11" s="7"/>
      <c r="H11" s="9" t="s">
        <v>1541</v>
      </c>
      <c r="I11" s="8">
        <v>0</v>
      </c>
      <c r="J11" s="8">
        <v>900</v>
      </c>
      <c r="K11" s="8" t="s">
        <v>862</v>
      </c>
      <c r="L11" s="43" t="s">
        <v>2809</v>
      </c>
      <c r="M11" s="41" t="s">
        <v>3398</v>
      </c>
      <c r="O11" s="41" t="s">
        <v>2810</v>
      </c>
      <c r="P11" s="41">
        <v>24</v>
      </c>
      <c r="Q11" s="41">
        <v>11</v>
      </c>
      <c r="R11" s="41" t="s">
        <v>1547</v>
      </c>
      <c r="S11" t="s">
        <v>2811</v>
      </c>
      <c r="T11" t="s">
        <v>2812</v>
      </c>
      <c r="V11" t="s">
        <v>3158</v>
      </c>
      <c r="X11">
        <v>1</v>
      </c>
      <c r="Y11" t="s">
        <v>2813</v>
      </c>
      <c r="AH11" t="s">
        <v>359</v>
      </c>
    </row>
    <row r="12" spans="1:34" ht="15.75">
      <c r="A12" s="29">
        <f t="shared" si="0"/>
        <v>10000</v>
      </c>
      <c r="B12" s="6" t="s">
        <v>4269</v>
      </c>
      <c r="C12">
        <v>5</v>
      </c>
      <c r="D12" s="2">
        <v>1817</v>
      </c>
      <c r="E12">
        <v>14</v>
      </c>
      <c r="F12">
        <v>7</v>
      </c>
      <c r="H12" t="s">
        <v>1540</v>
      </c>
      <c r="I12" s="2">
        <v>0</v>
      </c>
      <c r="J12" s="2">
        <f>+(20000)/20</f>
        <v>1000</v>
      </c>
      <c r="K12" s="2" t="s">
        <v>862</v>
      </c>
      <c r="L12" s="43" t="s">
        <v>3256</v>
      </c>
      <c r="M12" s="41" t="s">
        <v>3257</v>
      </c>
      <c r="N12" s="41" t="s">
        <v>3258</v>
      </c>
      <c r="O12" s="41" t="s">
        <v>3259</v>
      </c>
      <c r="P12" s="41">
        <v>29</v>
      </c>
      <c r="Q12" s="41">
        <v>6</v>
      </c>
      <c r="R12" s="41" t="s">
        <v>1199</v>
      </c>
      <c r="V12" t="s">
        <v>3260</v>
      </c>
      <c r="X12">
        <v>0.5</v>
      </c>
      <c r="AH12" t="s">
        <v>359</v>
      </c>
    </row>
    <row r="13" spans="1:34" ht="15.75">
      <c r="A13" s="29">
        <f t="shared" si="0"/>
        <v>17250</v>
      </c>
      <c r="B13" s="15">
        <v>829</v>
      </c>
      <c r="C13" s="15">
        <v>6</v>
      </c>
      <c r="D13" s="2">
        <v>1817</v>
      </c>
      <c r="E13">
        <v>3157</v>
      </c>
      <c r="F13" s="15">
        <v>7</v>
      </c>
      <c r="G13" s="15"/>
      <c r="H13" s="15" t="s">
        <v>1540</v>
      </c>
      <c r="I13" s="15">
        <v>0</v>
      </c>
      <c r="J13" s="15">
        <v>1725</v>
      </c>
      <c r="K13" s="18" t="s">
        <v>862</v>
      </c>
      <c r="L13" s="43" t="s">
        <v>3256</v>
      </c>
      <c r="M13" s="41" t="s">
        <v>2341</v>
      </c>
      <c r="O13" s="41" t="s">
        <v>2342</v>
      </c>
      <c r="P13" s="41">
        <v>29</v>
      </c>
      <c r="Q13" s="41">
        <v>6</v>
      </c>
      <c r="R13" s="41" t="s">
        <v>1547</v>
      </c>
      <c r="S13" s="15" t="s">
        <v>1547</v>
      </c>
      <c r="T13" s="15" t="s">
        <v>2343</v>
      </c>
      <c r="U13" s="15"/>
      <c r="V13" s="15" t="s">
        <v>2344</v>
      </c>
      <c r="W13" s="15"/>
      <c r="X13" s="15">
        <v>0.5</v>
      </c>
      <c r="Y13" s="15" t="s">
        <v>2345</v>
      </c>
      <c r="Z13" s="15"/>
      <c r="AA13" s="15"/>
      <c r="AB13" s="15"/>
      <c r="AC13" s="15"/>
      <c r="AD13" s="15"/>
      <c r="AE13" s="15"/>
      <c r="AF13" s="15"/>
      <c r="AG13" s="15"/>
      <c r="AH13" t="s">
        <v>359</v>
      </c>
    </row>
    <row r="14" spans="1:34" ht="15.75">
      <c r="A14" s="29">
        <f t="shared" si="0"/>
        <v>70069</v>
      </c>
      <c r="B14" s="30">
        <v>550</v>
      </c>
      <c r="C14" s="30">
        <v>1</v>
      </c>
      <c r="D14" s="30">
        <v>1817</v>
      </c>
      <c r="E14">
        <v>11338</v>
      </c>
      <c r="F14" s="30">
        <v>7</v>
      </c>
      <c r="H14" t="s">
        <v>1540</v>
      </c>
      <c r="I14" s="30">
        <f>11419+650</f>
        <v>12069</v>
      </c>
      <c r="J14" s="30">
        <v>2900</v>
      </c>
      <c r="K14" s="30" t="s">
        <v>862</v>
      </c>
      <c r="L14" s="43" t="s">
        <v>3256</v>
      </c>
      <c r="M14" s="41" t="s">
        <v>1478</v>
      </c>
      <c r="N14" s="41" t="s">
        <v>1015</v>
      </c>
      <c r="O14" s="41" t="s">
        <v>1016</v>
      </c>
      <c r="P14" s="41">
        <v>29</v>
      </c>
      <c r="Q14" s="41">
        <v>6</v>
      </c>
      <c r="R14" s="41">
        <v>68</v>
      </c>
      <c r="S14" t="s">
        <v>1017</v>
      </c>
      <c r="T14" t="s">
        <v>367</v>
      </c>
      <c r="V14" t="s">
        <v>3266</v>
      </c>
      <c r="X14">
        <v>1</v>
      </c>
      <c r="Y14" t="s">
        <v>1018</v>
      </c>
      <c r="AH14" t="s">
        <v>359</v>
      </c>
    </row>
    <row r="15" spans="1:34" ht="15.75">
      <c r="A15" s="29">
        <f t="shared" si="0"/>
        <v>788989</v>
      </c>
      <c r="B15" s="6">
        <v>938</v>
      </c>
      <c r="C15">
        <v>5</v>
      </c>
      <c r="D15" s="2">
        <v>1817</v>
      </c>
      <c r="E15">
        <v>91</v>
      </c>
      <c r="F15">
        <v>8</v>
      </c>
      <c r="H15" t="s">
        <v>1540</v>
      </c>
      <c r="I15" s="2">
        <v>692989</v>
      </c>
      <c r="J15" s="2">
        <f>1500+1400+600+1200+100</f>
        <v>4800</v>
      </c>
      <c r="K15" s="2" t="s">
        <v>863</v>
      </c>
      <c r="L15" s="43" t="s">
        <v>3166</v>
      </c>
      <c r="M15" s="41" t="s">
        <v>3155</v>
      </c>
      <c r="N15" s="41" t="s">
        <v>3167</v>
      </c>
      <c r="O15" s="41" t="s">
        <v>3168</v>
      </c>
      <c r="P15" s="41">
        <v>14</v>
      </c>
      <c r="Q15" s="41">
        <v>8</v>
      </c>
      <c r="R15" s="41">
        <v>59</v>
      </c>
      <c r="S15" t="s">
        <v>3169</v>
      </c>
      <c r="T15" t="s">
        <v>1262</v>
      </c>
      <c r="V15" t="s">
        <v>3170</v>
      </c>
      <c r="X15">
        <v>1</v>
      </c>
      <c r="Y15" t="s">
        <v>2979</v>
      </c>
      <c r="AH15" t="s">
        <v>359</v>
      </c>
    </row>
    <row r="16" spans="1:34" ht="15.75">
      <c r="A16" s="29">
        <f t="shared" si="0"/>
        <v>12000</v>
      </c>
      <c r="B16" s="15">
        <v>829</v>
      </c>
      <c r="C16" s="15">
        <v>6</v>
      </c>
      <c r="D16" s="2">
        <v>1817</v>
      </c>
      <c r="E16">
        <v>3159</v>
      </c>
      <c r="F16" s="15">
        <v>8</v>
      </c>
      <c r="G16" s="15"/>
      <c r="H16" s="15" t="s">
        <v>1540</v>
      </c>
      <c r="I16" s="15">
        <v>0</v>
      </c>
      <c r="J16" s="15">
        <v>600</v>
      </c>
      <c r="K16" s="18" t="s">
        <v>863</v>
      </c>
      <c r="L16" s="43" t="s">
        <v>361</v>
      </c>
      <c r="P16" s="41">
        <v>14</v>
      </c>
      <c r="Q16" s="41">
        <v>8</v>
      </c>
      <c r="R16" s="41" t="s">
        <v>1547</v>
      </c>
      <c r="S16" s="15" t="s">
        <v>1547</v>
      </c>
      <c r="T16" s="15"/>
      <c r="U16" s="15"/>
      <c r="V16" s="15"/>
      <c r="W16" s="15"/>
      <c r="X16" s="15">
        <v>1</v>
      </c>
      <c r="Y16" s="15" t="s">
        <v>2346</v>
      </c>
      <c r="Z16" s="15"/>
      <c r="AA16" s="15"/>
      <c r="AB16" s="15"/>
      <c r="AC16" s="15"/>
      <c r="AD16" s="15"/>
      <c r="AE16" s="15"/>
      <c r="AF16" s="15"/>
      <c r="AG16" s="15"/>
      <c r="AH16" t="s">
        <v>359</v>
      </c>
    </row>
    <row r="17" spans="1:34" ht="15.75">
      <c r="A17" s="29">
        <f t="shared" si="0"/>
        <v>40000</v>
      </c>
      <c r="B17" s="8">
        <v>728</v>
      </c>
      <c r="C17" s="8">
        <v>3</v>
      </c>
      <c r="D17" s="8">
        <v>1817</v>
      </c>
      <c r="E17">
        <v>9280</v>
      </c>
      <c r="F17" s="8">
        <v>8</v>
      </c>
      <c r="G17" s="7"/>
      <c r="H17" s="9" t="s">
        <v>1540</v>
      </c>
      <c r="I17" s="8">
        <v>0</v>
      </c>
      <c r="J17" s="8">
        <v>2000</v>
      </c>
      <c r="K17" s="2" t="s">
        <v>863</v>
      </c>
      <c r="L17" s="43" t="s">
        <v>3166</v>
      </c>
      <c r="M17" s="41" t="s">
        <v>1762</v>
      </c>
      <c r="N17" s="41" t="s">
        <v>2815</v>
      </c>
      <c r="O17" s="41" t="s">
        <v>2816</v>
      </c>
      <c r="P17" s="41">
        <v>14</v>
      </c>
      <c r="Q17" s="41">
        <v>8</v>
      </c>
      <c r="R17" s="41">
        <v>67</v>
      </c>
      <c r="T17" t="s">
        <v>4645</v>
      </c>
      <c r="V17" t="s">
        <v>3170</v>
      </c>
      <c r="X17">
        <v>1</v>
      </c>
      <c r="Y17" t="s">
        <v>2817</v>
      </c>
      <c r="AH17" t="s">
        <v>359</v>
      </c>
    </row>
    <row r="18" spans="1:34" ht="15.75">
      <c r="A18" s="29">
        <f t="shared" si="0"/>
        <v>45000</v>
      </c>
      <c r="B18" s="2">
        <v>631</v>
      </c>
      <c r="C18" s="2">
        <v>9</v>
      </c>
      <c r="D18" s="2">
        <v>1817</v>
      </c>
      <c r="E18">
        <v>5703</v>
      </c>
      <c r="F18" s="2">
        <v>9</v>
      </c>
      <c r="G18" s="1"/>
      <c r="H18" t="s">
        <v>1541</v>
      </c>
      <c r="I18" s="2">
        <v>0</v>
      </c>
      <c r="J18" s="2">
        <v>2250</v>
      </c>
      <c r="K18" s="2" t="s">
        <v>863</v>
      </c>
      <c r="L18" s="43" t="s">
        <v>3898</v>
      </c>
      <c r="M18" s="41" t="s">
        <v>3900</v>
      </c>
      <c r="N18" s="41" t="s">
        <v>1555</v>
      </c>
      <c r="O18" s="41" t="s">
        <v>3901</v>
      </c>
      <c r="P18" s="41">
        <v>1</v>
      </c>
      <c r="Q18" s="41">
        <v>6</v>
      </c>
      <c r="R18" s="41" t="s">
        <v>1547</v>
      </c>
      <c r="S18" t="s">
        <v>3899</v>
      </c>
      <c r="T18" t="s">
        <v>3440</v>
      </c>
      <c r="V18" t="s">
        <v>852</v>
      </c>
      <c r="X18">
        <v>1</v>
      </c>
      <c r="Y18" t="s">
        <v>3902</v>
      </c>
      <c r="AH18" t="s">
        <v>359</v>
      </c>
    </row>
    <row r="19" spans="1:34" ht="15.75">
      <c r="A19" s="29">
        <f t="shared" si="0"/>
        <v>31147</v>
      </c>
      <c r="B19" s="30">
        <v>551</v>
      </c>
      <c r="C19" s="30">
        <v>1</v>
      </c>
      <c r="D19" s="30">
        <v>1817</v>
      </c>
      <c r="E19">
        <v>11358</v>
      </c>
      <c r="F19" s="30">
        <v>9</v>
      </c>
      <c r="H19" t="s">
        <v>1540</v>
      </c>
      <c r="I19" s="30">
        <v>1087</v>
      </c>
      <c r="J19" s="30">
        <v>1503</v>
      </c>
      <c r="K19" s="30" t="s">
        <v>863</v>
      </c>
      <c r="L19" s="43" t="s">
        <v>3898</v>
      </c>
      <c r="M19" s="41" t="s">
        <v>3900</v>
      </c>
      <c r="N19" s="41" t="s">
        <v>851</v>
      </c>
      <c r="O19" s="41" t="s">
        <v>1020</v>
      </c>
      <c r="P19" s="41">
        <v>1</v>
      </c>
      <c r="Q19" s="41">
        <v>6</v>
      </c>
      <c r="R19" s="41">
        <v>17</v>
      </c>
      <c r="S19" t="s">
        <v>3899</v>
      </c>
      <c r="T19" t="s">
        <v>1021</v>
      </c>
      <c r="V19" t="s">
        <v>852</v>
      </c>
      <c r="X19">
        <v>1</v>
      </c>
      <c r="Y19" t="s">
        <v>1022</v>
      </c>
      <c r="AH19" t="s">
        <v>359</v>
      </c>
    </row>
    <row r="20" spans="1:34" ht="15.75">
      <c r="A20" s="29">
        <f t="shared" si="0"/>
        <v>175000</v>
      </c>
      <c r="B20" s="2">
        <v>430</v>
      </c>
      <c r="C20" s="2">
        <v>8</v>
      </c>
      <c r="D20" s="2">
        <v>1817</v>
      </c>
      <c r="E20">
        <v>7696</v>
      </c>
      <c r="F20" s="2">
        <v>10</v>
      </c>
      <c r="H20" t="s">
        <v>1540</v>
      </c>
      <c r="I20" s="2">
        <v>0</v>
      </c>
      <c r="J20" s="2">
        <v>8750</v>
      </c>
      <c r="K20" s="2" t="s">
        <v>863</v>
      </c>
      <c r="L20" s="43" t="s">
        <v>4096</v>
      </c>
      <c r="M20" s="41" t="s">
        <v>3140</v>
      </c>
      <c r="N20" s="41" t="s">
        <v>4097</v>
      </c>
      <c r="O20" s="41" t="s">
        <v>4098</v>
      </c>
      <c r="P20" s="41">
        <v>8</v>
      </c>
      <c r="Q20" s="41">
        <v>2</v>
      </c>
      <c r="R20" s="41">
        <v>58</v>
      </c>
      <c r="S20" t="s">
        <v>4099</v>
      </c>
      <c r="T20" t="s">
        <v>4100</v>
      </c>
      <c r="V20" t="s">
        <v>3141</v>
      </c>
      <c r="X20">
        <v>1</v>
      </c>
      <c r="Y20" t="s">
        <v>4101</v>
      </c>
      <c r="AH20" t="s">
        <v>359</v>
      </c>
    </row>
    <row r="21" spans="1:34" ht="15.75">
      <c r="A21" s="29">
        <f t="shared" si="0"/>
        <v>2751755</v>
      </c>
      <c r="B21" s="30">
        <v>551</v>
      </c>
      <c r="C21" s="30">
        <v>1</v>
      </c>
      <c r="D21" s="30">
        <v>1817</v>
      </c>
      <c r="E21">
        <v>11364</v>
      </c>
      <c r="F21" s="30">
        <v>10</v>
      </c>
      <c r="H21" t="s">
        <v>1540</v>
      </c>
      <c r="I21" s="30">
        <f>1515951+35804</f>
        <v>1551755</v>
      </c>
      <c r="J21" s="30">
        <v>120000</v>
      </c>
      <c r="K21" s="30" t="s">
        <v>863</v>
      </c>
      <c r="L21" s="43" t="s">
        <v>4096</v>
      </c>
      <c r="M21" s="41" t="s">
        <v>3140</v>
      </c>
      <c r="N21" s="41" t="s">
        <v>4097</v>
      </c>
      <c r="O21" s="41" t="s">
        <v>4098</v>
      </c>
      <c r="P21" s="41">
        <v>9</v>
      </c>
      <c r="Q21" s="41">
        <v>2</v>
      </c>
      <c r="R21" s="41">
        <v>57</v>
      </c>
      <c r="S21" t="s">
        <v>1023</v>
      </c>
      <c r="T21" t="s">
        <v>1024</v>
      </c>
      <c r="V21" t="s">
        <v>3141</v>
      </c>
      <c r="X21">
        <v>0.5</v>
      </c>
      <c r="Y21" t="s">
        <v>4098</v>
      </c>
      <c r="AH21" t="s">
        <v>359</v>
      </c>
    </row>
    <row r="22" spans="1:34" ht="15.75">
      <c r="A22" s="39">
        <f t="shared" si="0"/>
        <v>61907</v>
      </c>
      <c r="B22" s="6">
        <v>940</v>
      </c>
      <c r="C22">
        <v>5</v>
      </c>
      <c r="D22" s="2">
        <v>1817</v>
      </c>
      <c r="E22">
        <v>115</v>
      </c>
      <c r="F22">
        <v>12</v>
      </c>
      <c r="H22" t="s">
        <v>1540</v>
      </c>
      <c r="I22" s="2">
        <v>11907</v>
      </c>
      <c r="J22" s="2">
        <f>500+2000</f>
        <v>2500</v>
      </c>
      <c r="K22" s="2" t="s">
        <v>863</v>
      </c>
      <c r="L22" s="43" t="s">
        <v>853</v>
      </c>
      <c r="M22" s="41" t="s">
        <v>2755</v>
      </c>
      <c r="N22" s="41" t="s">
        <v>1555</v>
      </c>
      <c r="O22" s="41" t="s">
        <v>2756</v>
      </c>
      <c r="P22" s="41">
        <v>5</v>
      </c>
      <c r="Q22" s="41">
        <v>11</v>
      </c>
      <c r="R22" s="41">
        <v>59</v>
      </c>
      <c r="S22" t="s">
        <v>2757</v>
      </c>
      <c r="X22">
        <v>1</v>
      </c>
      <c r="Y22" t="s">
        <v>2754</v>
      </c>
      <c r="AH22" t="s">
        <v>359</v>
      </c>
    </row>
    <row r="23" spans="1:34" ht="15.75">
      <c r="A23" s="29">
        <f t="shared" si="0"/>
        <v>76000</v>
      </c>
      <c r="B23" s="31">
        <v>551</v>
      </c>
      <c r="C23" s="31">
        <v>1</v>
      </c>
      <c r="D23" s="31">
        <v>1817</v>
      </c>
      <c r="E23">
        <v>11374</v>
      </c>
      <c r="F23" s="31">
        <v>12</v>
      </c>
      <c r="G23" s="9"/>
      <c r="H23" s="9" t="s">
        <v>1540</v>
      </c>
      <c r="I23" s="31">
        <v>0</v>
      </c>
      <c r="J23" s="31">
        <v>3800</v>
      </c>
      <c r="K23" s="30" t="s">
        <v>863</v>
      </c>
      <c r="L23" s="43" t="s">
        <v>853</v>
      </c>
      <c r="M23" s="43" t="s">
        <v>854</v>
      </c>
      <c r="N23" s="43" t="s">
        <v>1555</v>
      </c>
      <c r="O23" s="43" t="s">
        <v>1036</v>
      </c>
      <c r="P23" s="43">
        <v>5</v>
      </c>
      <c r="Q23" s="43">
        <v>11</v>
      </c>
      <c r="R23" s="43" t="s">
        <v>1547</v>
      </c>
      <c r="S23" s="9" t="s">
        <v>1037</v>
      </c>
      <c r="T23" s="9" t="s">
        <v>1038</v>
      </c>
      <c r="U23" s="9"/>
      <c r="V23" s="9" t="s">
        <v>1039</v>
      </c>
      <c r="W23" s="9"/>
      <c r="X23">
        <v>1</v>
      </c>
      <c r="Y23" t="s">
        <v>1040</v>
      </c>
      <c r="AH23" t="s">
        <v>359</v>
      </c>
    </row>
    <row r="24" spans="1:34" ht="15.75">
      <c r="A24" s="29">
        <f t="shared" si="0"/>
        <v>1715</v>
      </c>
      <c r="B24" s="2">
        <v>633</v>
      </c>
      <c r="C24" s="2">
        <v>9</v>
      </c>
      <c r="D24" s="2">
        <v>1817</v>
      </c>
      <c r="E24">
        <v>5786</v>
      </c>
      <c r="F24" s="2">
        <v>13</v>
      </c>
      <c r="G24" s="1"/>
      <c r="H24" t="s">
        <v>1540</v>
      </c>
      <c r="I24" s="2">
        <v>0</v>
      </c>
      <c r="J24" s="2">
        <v>343</v>
      </c>
      <c r="K24" s="2" t="s">
        <v>863</v>
      </c>
      <c r="L24" s="43" t="s">
        <v>1370</v>
      </c>
      <c r="O24" s="41" t="s">
        <v>3936</v>
      </c>
      <c r="P24" s="41">
        <v>3</v>
      </c>
      <c r="Q24" s="41">
        <v>9</v>
      </c>
      <c r="R24" s="41" t="s">
        <v>1547</v>
      </c>
      <c r="S24" t="s">
        <v>3343</v>
      </c>
      <c r="X24">
        <v>0.25</v>
      </c>
      <c r="Y24" t="s">
        <v>3937</v>
      </c>
      <c r="AH24" t="s">
        <v>359</v>
      </c>
    </row>
    <row r="25" spans="1:34" ht="15.75">
      <c r="A25" s="29">
        <f t="shared" si="0"/>
        <v>11996</v>
      </c>
      <c r="B25" s="2">
        <v>730</v>
      </c>
      <c r="C25" s="2">
        <v>3</v>
      </c>
      <c r="D25" s="2">
        <v>1817</v>
      </c>
      <c r="E25">
        <v>9297</v>
      </c>
      <c r="F25" s="2">
        <v>13</v>
      </c>
      <c r="G25" s="1"/>
      <c r="H25" t="s">
        <v>1540</v>
      </c>
      <c r="I25" s="2">
        <f>10717+1279</f>
        <v>11996</v>
      </c>
      <c r="J25" s="2">
        <v>0</v>
      </c>
      <c r="K25" s="2" t="s">
        <v>863</v>
      </c>
      <c r="L25" s="43" t="s">
        <v>1370</v>
      </c>
      <c r="P25" s="41">
        <v>30</v>
      </c>
      <c r="Q25" s="41">
        <v>9</v>
      </c>
      <c r="R25" s="41">
        <v>41</v>
      </c>
      <c r="S25" t="s">
        <v>1547</v>
      </c>
      <c r="AH25" t="s">
        <v>359</v>
      </c>
    </row>
    <row r="26" spans="1:34" ht="15.75">
      <c r="A26" s="29">
        <f t="shared" si="0"/>
        <v>176080</v>
      </c>
      <c r="B26" s="6">
        <v>941</v>
      </c>
      <c r="C26">
        <v>5</v>
      </c>
      <c r="D26" s="2">
        <v>1817</v>
      </c>
      <c r="E26">
        <v>129</v>
      </c>
      <c r="F26">
        <v>14</v>
      </c>
      <c r="H26" t="s">
        <v>1540</v>
      </c>
      <c r="I26" s="2">
        <f>142781+1975+987+987</f>
        <v>146730</v>
      </c>
      <c r="J26" s="2">
        <f>2785+150</f>
        <v>2935</v>
      </c>
      <c r="K26" s="2" t="s">
        <v>863</v>
      </c>
      <c r="L26" s="43" t="s">
        <v>1682</v>
      </c>
      <c r="M26" s="41" t="s">
        <v>1683</v>
      </c>
      <c r="N26" s="41" t="s">
        <v>1684</v>
      </c>
      <c r="O26" s="41" t="s">
        <v>1685</v>
      </c>
      <c r="P26" s="41">
        <v>25</v>
      </c>
      <c r="Q26" s="41">
        <v>12</v>
      </c>
      <c r="R26" s="41">
        <v>50</v>
      </c>
      <c r="S26" t="s">
        <v>1686</v>
      </c>
      <c r="W26" t="s">
        <v>3139</v>
      </c>
      <c r="X26">
        <v>0.5</v>
      </c>
      <c r="Y26" t="s">
        <v>2722</v>
      </c>
      <c r="AH26" t="s">
        <v>359</v>
      </c>
    </row>
    <row r="27" spans="1:34" ht="15.75">
      <c r="A27" s="29">
        <f t="shared" si="0"/>
        <v>125540</v>
      </c>
      <c r="B27" s="2">
        <v>431</v>
      </c>
      <c r="C27" s="2">
        <v>8</v>
      </c>
      <c r="D27" s="2">
        <v>1817</v>
      </c>
      <c r="E27">
        <v>7739</v>
      </c>
      <c r="F27" s="2">
        <v>14</v>
      </c>
      <c r="H27" t="s">
        <v>1540</v>
      </c>
      <c r="I27" s="2">
        <v>0</v>
      </c>
      <c r="J27" s="2">
        <v>6277</v>
      </c>
      <c r="K27" s="2" t="s">
        <v>863</v>
      </c>
      <c r="L27" s="43" t="s">
        <v>1682</v>
      </c>
      <c r="M27" s="41" t="s">
        <v>3138</v>
      </c>
      <c r="N27" s="41" t="s">
        <v>4354</v>
      </c>
      <c r="O27" s="41" t="s">
        <v>4355</v>
      </c>
      <c r="P27" s="41">
        <v>25</v>
      </c>
      <c r="Q27" s="41">
        <v>12</v>
      </c>
      <c r="R27" s="41" t="s">
        <v>1547</v>
      </c>
      <c r="S27" t="s">
        <v>4356</v>
      </c>
      <c r="T27" t="s">
        <v>4357</v>
      </c>
      <c r="V27" t="s">
        <v>3139</v>
      </c>
      <c r="X27">
        <v>1</v>
      </c>
      <c r="Y27" t="s">
        <v>4358</v>
      </c>
      <c r="AH27" t="s">
        <v>359</v>
      </c>
    </row>
    <row r="28" spans="1:34" ht="15.75">
      <c r="A28" s="29">
        <f t="shared" si="0"/>
        <v>29226</v>
      </c>
      <c r="B28" s="8">
        <v>633</v>
      </c>
      <c r="C28" s="8">
        <v>9</v>
      </c>
      <c r="D28" s="2">
        <v>1817</v>
      </c>
      <c r="E28">
        <v>5793</v>
      </c>
      <c r="F28" s="8">
        <v>15</v>
      </c>
      <c r="G28" s="7"/>
      <c r="H28" s="9" t="s">
        <v>1541</v>
      </c>
      <c r="I28" s="8">
        <f>15426+200</f>
        <v>15626</v>
      </c>
      <c r="J28" s="8">
        <v>680</v>
      </c>
      <c r="K28" s="2" t="s">
        <v>863</v>
      </c>
      <c r="L28" s="43" t="s">
        <v>3945</v>
      </c>
      <c r="M28" s="41" t="s">
        <v>3153</v>
      </c>
      <c r="O28" s="41" t="s">
        <v>3947</v>
      </c>
      <c r="P28" s="41">
        <v>20</v>
      </c>
      <c r="Q28" s="41">
        <v>6</v>
      </c>
      <c r="R28" s="41">
        <v>73</v>
      </c>
      <c r="S28" s="11" t="s">
        <v>3946</v>
      </c>
      <c r="T28" s="11" t="s">
        <v>3948</v>
      </c>
      <c r="U28" s="11"/>
      <c r="V28" s="11" t="s">
        <v>3949</v>
      </c>
      <c r="W28" s="11"/>
      <c r="X28" s="11">
        <v>1</v>
      </c>
      <c r="Y28" s="11" t="s">
        <v>3947</v>
      </c>
      <c r="Z28" s="11" t="s">
        <v>3947</v>
      </c>
      <c r="AA28" s="11"/>
      <c r="AB28" s="11"/>
      <c r="AH28" t="s">
        <v>359</v>
      </c>
    </row>
    <row r="29" spans="1:34" ht="15.75">
      <c r="A29" s="29">
        <f t="shared" si="0"/>
        <v>24000</v>
      </c>
      <c r="B29" s="8">
        <v>730</v>
      </c>
      <c r="C29" s="2">
        <v>3</v>
      </c>
      <c r="D29" s="8">
        <v>1817</v>
      </c>
      <c r="E29">
        <v>9304</v>
      </c>
      <c r="F29" s="8">
        <v>15</v>
      </c>
      <c r="G29" s="7"/>
      <c r="H29" s="9" t="s">
        <v>1541</v>
      </c>
      <c r="I29" s="8">
        <v>0</v>
      </c>
      <c r="J29" s="8">
        <v>1200</v>
      </c>
      <c r="K29" s="2" t="s">
        <v>863</v>
      </c>
      <c r="L29" s="43" t="s">
        <v>3945</v>
      </c>
      <c r="M29" s="43" t="s">
        <v>3153</v>
      </c>
      <c r="N29" s="43" t="s">
        <v>1545</v>
      </c>
      <c r="O29" s="43" t="s">
        <v>2855</v>
      </c>
      <c r="P29" s="43">
        <v>22</v>
      </c>
      <c r="Q29" s="43">
        <v>6</v>
      </c>
      <c r="R29" s="43">
        <v>73</v>
      </c>
      <c r="S29" s="11" t="s">
        <v>3946</v>
      </c>
      <c r="T29" s="11" t="s">
        <v>2784</v>
      </c>
      <c r="U29" s="11"/>
      <c r="V29" s="11" t="s">
        <v>3949</v>
      </c>
      <c r="W29" s="11"/>
      <c r="X29" s="16">
        <v>1</v>
      </c>
      <c r="Y29" t="s">
        <v>2856</v>
      </c>
      <c r="AH29" t="s">
        <v>359</v>
      </c>
    </row>
    <row r="30" spans="1:34" ht="15.75">
      <c r="A30" s="29">
        <f t="shared" si="0"/>
        <v>44000</v>
      </c>
      <c r="B30" s="6" t="s">
        <v>4277</v>
      </c>
      <c r="C30">
        <v>5</v>
      </c>
      <c r="D30" s="2">
        <v>1817</v>
      </c>
      <c r="E30">
        <v>44</v>
      </c>
      <c r="F30">
        <v>16</v>
      </c>
      <c r="H30" t="s">
        <v>1541</v>
      </c>
      <c r="I30" s="2">
        <v>0</v>
      </c>
      <c r="J30" s="2">
        <f>+(28000+60000)/20</f>
        <v>4400</v>
      </c>
      <c r="K30" s="2" t="s">
        <v>863</v>
      </c>
      <c r="L30" s="43" t="s">
        <v>3245</v>
      </c>
      <c r="M30" s="41" t="s">
        <v>3246</v>
      </c>
      <c r="O30" s="41" t="s">
        <v>3247</v>
      </c>
      <c r="P30" s="41">
        <v>21</v>
      </c>
      <c r="Q30" s="41">
        <v>3</v>
      </c>
      <c r="R30" s="41" t="s">
        <v>1199</v>
      </c>
      <c r="S30" t="s">
        <v>3248</v>
      </c>
      <c r="V30" t="s">
        <v>3249</v>
      </c>
      <c r="X30">
        <v>0.5</v>
      </c>
      <c r="Y30" t="s">
        <v>4280</v>
      </c>
      <c r="AH30" t="s">
        <v>359</v>
      </c>
    </row>
    <row r="31" spans="1:34" ht="15.75">
      <c r="A31" s="29">
        <f t="shared" si="0"/>
        <v>343800</v>
      </c>
      <c r="B31" s="2">
        <v>432</v>
      </c>
      <c r="C31" s="2">
        <v>8</v>
      </c>
      <c r="D31" s="2">
        <v>1817</v>
      </c>
      <c r="E31">
        <v>7790</v>
      </c>
      <c r="F31" s="2">
        <v>16</v>
      </c>
      <c r="H31" t="s">
        <v>1541</v>
      </c>
      <c r="I31" s="2">
        <v>0</v>
      </c>
      <c r="J31" s="2">
        <v>17190</v>
      </c>
      <c r="K31" s="2" t="s">
        <v>863</v>
      </c>
      <c r="L31" s="43" t="s">
        <v>3245</v>
      </c>
      <c r="M31" s="41" t="s">
        <v>3246</v>
      </c>
      <c r="O31" s="41" t="s">
        <v>4385</v>
      </c>
      <c r="P31" s="41">
        <v>21</v>
      </c>
      <c r="Q31" s="41">
        <v>3</v>
      </c>
      <c r="R31" s="41" t="s">
        <v>1547</v>
      </c>
      <c r="S31" t="s">
        <v>4386</v>
      </c>
      <c r="T31" t="s">
        <v>4387</v>
      </c>
      <c r="U31" t="s">
        <v>4385</v>
      </c>
      <c r="V31" t="s">
        <v>3249</v>
      </c>
      <c r="X31">
        <v>1</v>
      </c>
      <c r="Y31" t="s">
        <v>4388</v>
      </c>
      <c r="AH31" t="s">
        <v>359</v>
      </c>
    </row>
    <row r="32" spans="1:34" ht="15.75">
      <c r="A32" s="29">
        <f t="shared" si="0"/>
        <v>30000</v>
      </c>
      <c r="B32" s="6">
        <v>955</v>
      </c>
      <c r="C32">
        <v>5</v>
      </c>
      <c r="D32" s="2">
        <v>1817</v>
      </c>
      <c r="E32">
        <v>205</v>
      </c>
      <c r="F32">
        <v>17</v>
      </c>
      <c r="H32" t="s">
        <v>1541</v>
      </c>
      <c r="I32" s="2">
        <v>0</v>
      </c>
      <c r="J32" s="2">
        <v>1500</v>
      </c>
      <c r="K32" s="2" t="s">
        <v>864</v>
      </c>
      <c r="L32" s="43" t="s">
        <v>3375</v>
      </c>
      <c r="M32" s="41" t="s">
        <v>3376</v>
      </c>
      <c r="O32" s="41" t="s">
        <v>1142</v>
      </c>
      <c r="P32" s="41">
        <v>8</v>
      </c>
      <c r="Q32" s="41">
        <v>1</v>
      </c>
      <c r="R32" s="41" t="s">
        <v>1199</v>
      </c>
      <c r="S32" t="s">
        <v>1143</v>
      </c>
      <c r="V32" t="s">
        <v>1247</v>
      </c>
      <c r="X32">
        <v>1</v>
      </c>
      <c r="AH32" t="s">
        <v>359</v>
      </c>
    </row>
    <row r="33" spans="1:34" ht="15.75">
      <c r="A33" s="29">
        <f t="shared" si="0"/>
        <v>25500</v>
      </c>
      <c r="B33" s="30">
        <v>560</v>
      </c>
      <c r="C33" s="30">
        <v>1</v>
      </c>
      <c r="D33" s="30">
        <v>1817</v>
      </c>
      <c r="E33">
        <v>11757</v>
      </c>
      <c r="F33" s="30">
        <v>17</v>
      </c>
      <c r="H33" t="s">
        <v>1541</v>
      </c>
      <c r="I33" s="30">
        <v>0</v>
      </c>
      <c r="J33" s="30">
        <f>51000/20</f>
        <v>2550</v>
      </c>
      <c r="K33" s="30" t="s">
        <v>864</v>
      </c>
      <c r="L33" s="43" t="s">
        <v>3375</v>
      </c>
      <c r="M33" s="41" t="s">
        <v>3376</v>
      </c>
      <c r="O33" s="41" t="s">
        <v>44</v>
      </c>
      <c r="P33" s="41">
        <v>8</v>
      </c>
      <c r="Q33" s="41">
        <v>1</v>
      </c>
      <c r="S33" t="s">
        <v>45</v>
      </c>
      <c r="T33" t="s">
        <v>3442</v>
      </c>
      <c r="V33" t="s">
        <v>1247</v>
      </c>
      <c r="X33">
        <v>0.5</v>
      </c>
      <c r="Y33" t="s">
        <v>379</v>
      </c>
      <c r="AH33" t="s">
        <v>359</v>
      </c>
    </row>
    <row r="34" spans="1:34" ht="15.75">
      <c r="A34" s="29">
        <f t="shared" si="0"/>
        <v>2500</v>
      </c>
      <c r="B34" s="6">
        <v>959</v>
      </c>
      <c r="C34">
        <v>5</v>
      </c>
      <c r="D34" s="2">
        <v>1817</v>
      </c>
      <c r="E34">
        <v>215</v>
      </c>
      <c r="F34">
        <v>18</v>
      </c>
      <c r="H34" t="s">
        <v>1540</v>
      </c>
      <c r="I34" s="2">
        <v>0</v>
      </c>
      <c r="J34" s="2">
        <v>250</v>
      </c>
      <c r="K34" s="2" t="s">
        <v>864</v>
      </c>
      <c r="L34" s="43" t="s">
        <v>5875</v>
      </c>
      <c r="M34" s="41" t="s">
        <v>5876</v>
      </c>
      <c r="O34" s="41" t="s">
        <v>5874</v>
      </c>
      <c r="P34" s="41">
        <v>27</v>
      </c>
      <c r="Q34" s="41">
        <v>1</v>
      </c>
      <c r="R34" s="41" t="s">
        <v>1199</v>
      </c>
      <c r="S34" t="s">
        <v>1547</v>
      </c>
      <c r="X34">
        <v>0.5</v>
      </c>
      <c r="Y34" t="s">
        <v>1159</v>
      </c>
      <c r="AH34" t="s">
        <v>359</v>
      </c>
    </row>
    <row r="35" spans="1:34" ht="15.75">
      <c r="A35" s="29">
        <f t="shared" si="0"/>
        <v>956</v>
      </c>
      <c r="B35" s="2">
        <v>646</v>
      </c>
      <c r="C35" s="2">
        <v>9</v>
      </c>
      <c r="D35" s="2">
        <v>1817</v>
      </c>
      <c r="E35">
        <v>6388</v>
      </c>
      <c r="F35" s="2">
        <v>18</v>
      </c>
      <c r="G35" s="1"/>
      <c r="H35" s="1" t="s">
        <v>1540</v>
      </c>
      <c r="I35" s="2">
        <v>956</v>
      </c>
      <c r="J35" s="2">
        <v>0</v>
      </c>
      <c r="K35" s="8" t="s">
        <v>864</v>
      </c>
      <c r="L35" s="43" t="s">
        <v>5875</v>
      </c>
      <c r="P35" s="41">
        <v>27</v>
      </c>
      <c r="Q35" s="41">
        <v>1</v>
      </c>
      <c r="R35" s="41">
        <v>21</v>
      </c>
      <c r="S35" t="s">
        <v>3343</v>
      </c>
      <c r="AH35" t="s">
        <v>359</v>
      </c>
    </row>
    <row r="36" spans="1:34" ht="15.75">
      <c r="A36" s="29">
        <f t="shared" si="0"/>
        <v>52360</v>
      </c>
      <c r="B36" s="8">
        <v>679</v>
      </c>
      <c r="C36" s="2">
        <v>9</v>
      </c>
      <c r="D36" s="2">
        <v>1817</v>
      </c>
      <c r="E36">
        <v>7597</v>
      </c>
      <c r="F36" s="8">
        <v>19</v>
      </c>
      <c r="G36" s="7"/>
      <c r="H36" s="7" t="s">
        <v>1540</v>
      </c>
      <c r="I36" s="8">
        <v>0</v>
      </c>
      <c r="J36" s="8">
        <f>950+1668</f>
        <v>2618</v>
      </c>
      <c r="K36" s="8" t="s">
        <v>874</v>
      </c>
      <c r="L36" s="43" t="s">
        <v>937</v>
      </c>
      <c r="M36" s="41" t="s">
        <v>938</v>
      </c>
      <c r="N36" s="41" t="s">
        <v>1555</v>
      </c>
      <c r="O36" s="41" t="s">
        <v>939</v>
      </c>
      <c r="P36" s="41">
        <v>13</v>
      </c>
      <c r="Q36" s="41">
        <v>1</v>
      </c>
      <c r="R36" s="41" t="s">
        <v>1547</v>
      </c>
      <c r="S36" t="s">
        <v>3324</v>
      </c>
      <c r="T36" t="s">
        <v>3442</v>
      </c>
      <c r="V36" t="s">
        <v>940</v>
      </c>
      <c r="X36">
        <v>1</v>
      </c>
      <c r="Y36" t="s">
        <v>941</v>
      </c>
      <c r="AH36" t="s">
        <v>359</v>
      </c>
    </row>
    <row r="37" spans="1:34" ht="15.75">
      <c r="A37" s="29">
        <f t="shared" si="0"/>
        <v>33360</v>
      </c>
      <c r="B37" s="30">
        <v>589</v>
      </c>
      <c r="C37" s="30">
        <v>1</v>
      </c>
      <c r="D37" s="30">
        <v>1817</v>
      </c>
      <c r="E37">
        <v>12744</v>
      </c>
      <c r="F37" s="30">
        <v>19</v>
      </c>
      <c r="G37" s="29"/>
      <c r="H37" t="s">
        <v>1540</v>
      </c>
      <c r="I37" s="30">
        <v>0</v>
      </c>
      <c r="J37" s="30">
        <v>1668</v>
      </c>
      <c r="K37" s="30" t="s">
        <v>874</v>
      </c>
      <c r="L37" s="43" t="s">
        <v>937</v>
      </c>
      <c r="M37" s="41" t="s">
        <v>352</v>
      </c>
      <c r="N37" s="41" t="s">
        <v>1555</v>
      </c>
      <c r="O37" s="41" t="s">
        <v>353</v>
      </c>
      <c r="P37" s="41">
        <v>13</v>
      </c>
      <c r="Q37" s="41">
        <v>1</v>
      </c>
      <c r="R37" s="41" t="s">
        <v>1547</v>
      </c>
      <c r="S37" t="s">
        <v>1266</v>
      </c>
      <c r="T37" t="s">
        <v>3442</v>
      </c>
      <c r="V37" t="s">
        <v>2646</v>
      </c>
      <c r="X37">
        <v>1</v>
      </c>
      <c r="Y37" t="s">
        <v>354</v>
      </c>
      <c r="AH37" t="s">
        <v>359</v>
      </c>
    </row>
    <row r="38" spans="1:34" ht="15.75">
      <c r="A38" s="29">
        <f t="shared" si="0"/>
        <v>2280</v>
      </c>
      <c r="B38" s="6">
        <v>957</v>
      </c>
      <c r="C38">
        <v>5</v>
      </c>
      <c r="D38" s="2">
        <v>1817</v>
      </c>
      <c r="E38">
        <v>219</v>
      </c>
      <c r="F38" s="8">
        <v>20</v>
      </c>
      <c r="H38" t="s">
        <v>4655</v>
      </c>
      <c r="I38" s="2">
        <v>0</v>
      </c>
      <c r="J38" s="2">
        <v>114</v>
      </c>
      <c r="K38" s="2" t="s">
        <v>864</v>
      </c>
      <c r="L38" s="43" t="s">
        <v>4684</v>
      </c>
      <c r="M38" s="41" t="s">
        <v>4685</v>
      </c>
      <c r="N38" s="41" t="s">
        <v>4686</v>
      </c>
      <c r="O38" s="41" t="s">
        <v>4687</v>
      </c>
      <c r="P38" s="41">
        <v>15</v>
      </c>
      <c r="Q38" s="41">
        <v>2</v>
      </c>
      <c r="R38" s="41" t="s">
        <v>1199</v>
      </c>
      <c r="X38">
        <v>1</v>
      </c>
      <c r="Y38" t="s">
        <v>2982</v>
      </c>
      <c r="AH38" t="s">
        <v>359</v>
      </c>
    </row>
    <row r="39" spans="1:34" ht="15.75">
      <c r="A39" s="29">
        <f t="shared" si="0"/>
        <v>1420</v>
      </c>
      <c r="B39" s="8">
        <v>644</v>
      </c>
      <c r="C39" s="2">
        <v>9</v>
      </c>
      <c r="D39" s="2">
        <v>1817</v>
      </c>
      <c r="E39">
        <v>6301</v>
      </c>
      <c r="F39" s="8">
        <v>20</v>
      </c>
      <c r="G39" s="7"/>
      <c r="H39" s="7" t="s">
        <v>1540</v>
      </c>
      <c r="I39" s="8">
        <v>0</v>
      </c>
      <c r="J39" s="8">
        <v>71</v>
      </c>
      <c r="K39" s="8" t="s">
        <v>864</v>
      </c>
      <c r="L39" s="43" t="s">
        <v>4684</v>
      </c>
      <c r="O39" s="41" t="s">
        <v>559</v>
      </c>
      <c r="P39" s="41">
        <v>15</v>
      </c>
      <c r="Q39" s="41">
        <v>2</v>
      </c>
      <c r="R39" s="41" t="s">
        <v>1547</v>
      </c>
      <c r="S39" t="s">
        <v>1547</v>
      </c>
      <c r="X39">
        <v>1</v>
      </c>
      <c r="Y39" t="s">
        <v>560</v>
      </c>
      <c r="AH39" t="s">
        <v>359</v>
      </c>
    </row>
    <row r="40" spans="1:34" ht="15.75">
      <c r="A40" s="29">
        <f t="shared" si="0"/>
        <v>72736</v>
      </c>
      <c r="B40" s="8">
        <v>741</v>
      </c>
      <c r="C40" s="2">
        <v>3</v>
      </c>
      <c r="D40" s="8">
        <v>1817</v>
      </c>
      <c r="E40">
        <v>9463</v>
      </c>
      <c r="F40" s="8">
        <v>20</v>
      </c>
      <c r="G40" s="7"/>
      <c r="H40" s="9" t="s">
        <v>1540</v>
      </c>
      <c r="I40" s="8">
        <v>1936</v>
      </c>
      <c r="J40" s="8">
        <f>2800+2800+1480</f>
        <v>7080</v>
      </c>
      <c r="K40" s="2" t="s">
        <v>864</v>
      </c>
      <c r="L40" s="43" t="s">
        <v>4684</v>
      </c>
      <c r="M40" s="41" t="s">
        <v>1830</v>
      </c>
      <c r="N40" s="41" t="s">
        <v>5831</v>
      </c>
      <c r="O40" s="41" t="s">
        <v>1831</v>
      </c>
      <c r="P40" s="41">
        <v>15</v>
      </c>
      <c r="Q40" s="41">
        <v>2</v>
      </c>
      <c r="R40" s="41">
        <v>56</v>
      </c>
      <c r="S40" t="s">
        <v>1832</v>
      </c>
      <c r="T40" t="s">
        <v>2706</v>
      </c>
      <c r="V40" t="s">
        <v>858</v>
      </c>
      <c r="X40">
        <v>0.5</v>
      </c>
      <c r="Y40" t="s">
        <v>1833</v>
      </c>
      <c r="AH40" t="s">
        <v>359</v>
      </c>
    </row>
    <row r="41" spans="1:34" ht="15.75">
      <c r="A41" s="29">
        <f t="shared" si="0"/>
        <v>175.20000000000002</v>
      </c>
      <c r="B41" s="30">
        <v>561</v>
      </c>
      <c r="C41" s="30">
        <v>1</v>
      </c>
      <c r="D41" s="30">
        <v>1817</v>
      </c>
      <c r="E41">
        <v>11820</v>
      </c>
      <c r="F41" s="8">
        <v>20</v>
      </c>
      <c r="H41" t="s">
        <v>1540</v>
      </c>
      <c r="I41" s="30">
        <v>0</v>
      </c>
      <c r="J41" s="30">
        <v>219</v>
      </c>
      <c r="K41" s="30" t="s">
        <v>864</v>
      </c>
      <c r="L41" s="43" t="s">
        <v>4684</v>
      </c>
      <c r="M41" s="41" t="s">
        <v>63</v>
      </c>
      <c r="N41" s="41" t="s">
        <v>5829</v>
      </c>
      <c r="O41" s="41" t="s">
        <v>64</v>
      </c>
      <c r="P41" s="41">
        <v>15</v>
      </c>
      <c r="Q41" s="41">
        <v>2</v>
      </c>
      <c r="S41" t="s">
        <v>1547</v>
      </c>
      <c r="X41">
        <v>0.04</v>
      </c>
      <c r="Y41" t="s">
        <v>65</v>
      </c>
      <c r="AH41" t="s">
        <v>359</v>
      </c>
    </row>
    <row r="42" spans="1:34" ht="15.75">
      <c r="A42" s="29">
        <f t="shared" si="0"/>
        <v>41780</v>
      </c>
      <c r="B42" s="8">
        <v>651</v>
      </c>
      <c r="C42" s="8">
        <v>9</v>
      </c>
      <c r="D42" s="2">
        <v>1817</v>
      </c>
      <c r="E42">
        <v>6581</v>
      </c>
      <c r="F42" s="8">
        <v>21</v>
      </c>
      <c r="G42" s="9"/>
      <c r="H42" s="8" t="s">
        <v>1540</v>
      </c>
      <c r="I42" s="8">
        <v>16780</v>
      </c>
      <c r="J42" s="8">
        <v>1250</v>
      </c>
      <c r="K42" s="2" t="s">
        <v>865</v>
      </c>
      <c r="L42" s="43" t="s">
        <v>688</v>
      </c>
      <c r="M42" s="43" t="s">
        <v>689</v>
      </c>
      <c r="N42" s="43" t="s">
        <v>667</v>
      </c>
      <c r="O42" s="43" t="s">
        <v>690</v>
      </c>
      <c r="P42" s="41">
        <v>6</v>
      </c>
      <c r="Q42" s="41">
        <v>2</v>
      </c>
      <c r="R42" s="41">
        <v>27</v>
      </c>
      <c r="S42" t="s">
        <v>3343</v>
      </c>
      <c r="T42" t="s">
        <v>691</v>
      </c>
      <c r="V42" t="s">
        <v>1663</v>
      </c>
      <c r="X42">
        <v>1</v>
      </c>
      <c r="AH42" t="s">
        <v>359</v>
      </c>
    </row>
    <row r="43" spans="1:34" ht="15.75">
      <c r="A43" s="29">
        <f t="shared" si="0"/>
        <v>32500</v>
      </c>
      <c r="B43" s="8">
        <v>446</v>
      </c>
      <c r="C43" s="2">
        <v>8</v>
      </c>
      <c r="D43" s="2">
        <v>1817</v>
      </c>
      <c r="E43">
        <v>8356</v>
      </c>
      <c r="F43" s="8">
        <v>21</v>
      </c>
      <c r="G43" s="9"/>
      <c r="H43" s="9" t="s">
        <v>1540</v>
      </c>
      <c r="I43" s="8">
        <v>0</v>
      </c>
      <c r="J43" s="8">
        <v>6500</v>
      </c>
      <c r="K43" s="8" t="s">
        <v>865</v>
      </c>
      <c r="L43" s="43" t="s">
        <v>688</v>
      </c>
      <c r="M43" s="43" t="s">
        <v>2286</v>
      </c>
      <c r="N43" s="43" t="s">
        <v>2287</v>
      </c>
      <c r="O43" s="43" t="s">
        <v>2288</v>
      </c>
      <c r="P43" s="43">
        <v>5</v>
      </c>
      <c r="Q43" s="43">
        <v>2</v>
      </c>
      <c r="R43" s="43"/>
      <c r="S43" t="s">
        <v>3343</v>
      </c>
      <c r="T43" s="9" t="s">
        <v>2289</v>
      </c>
      <c r="V43" s="9" t="s">
        <v>2730</v>
      </c>
      <c r="W43" s="9"/>
      <c r="X43">
        <v>0.25</v>
      </c>
      <c r="Y43" t="s">
        <v>5409</v>
      </c>
      <c r="AH43" t="s">
        <v>359</v>
      </c>
    </row>
    <row r="44" spans="1:34" ht="15.75">
      <c r="A44" s="29">
        <f t="shared" si="0"/>
        <v>3000</v>
      </c>
      <c r="B44" s="6">
        <v>970</v>
      </c>
      <c r="C44">
        <v>5</v>
      </c>
      <c r="D44" s="2">
        <v>1817</v>
      </c>
      <c r="E44">
        <v>415</v>
      </c>
      <c r="F44">
        <v>22</v>
      </c>
      <c r="H44" t="s">
        <v>1541</v>
      </c>
      <c r="I44" s="2">
        <v>0</v>
      </c>
      <c r="J44" s="2">
        <v>150</v>
      </c>
      <c r="K44" s="2" t="s">
        <v>1549</v>
      </c>
      <c r="L44" s="43" t="s">
        <v>4995</v>
      </c>
      <c r="M44" s="41" t="s">
        <v>3315</v>
      </c>
      <c r="O44" s="41" t="s">
        <v>3314</v>
      </c>
      <c r="P44" s="41">
        <v>24</v>
      </c>
      <c r="Q44" s="41">
        <v>2</v>
      </c>
      <c r="R44" s="41" t="s">
        <v>1547</v>
      </c>
      <c r="S44" t="s">
        <v>3316</v>
      </c>
      <c r="X44">
        <v>1</v>
      </c>
      <c r="Y44" t="s">
        <v>2984</v>
      </c>
      <c r="AH44" t="s">
        <v>359</v>
      </c>
    </row>
    <row r="45" spans="1:34" ht="15.75">
      <c r="A45" s="29">
        <f t="shared" si="0"/>
        <v>115785</v>
      </c>
      <c r="B45" s="8">
        <v>654</v>
      </c>
      <c r="C45" s="8">
        <v>9</v>
      </c>
      <c r="D45" s="2">
        <v>1817</v>
      </c>
      <c r="E45">
        <v>6680</v>
      </c>
      <c r="F45">
        <v>22</v>
      </c>
      <c r="G45" s="7"/>
      <c r="H45" s="9" t="s">
        <v>1541</v>
      </c>
      <c r="I45" s="8">
        <f>94485+3000+300</f>
        <v>97785</v>
      </c>
      <c r="J45" s="8">
        <v>900</v>
      </c>
      <c r="K45" s="8" t="s">
        <v>1549</v>
      </c>
      <c r="L45" s="43" t="s">
        <v>4995</v>
      </c>
      <c r="M45" s="41" t="s">
        <v>4997</v>
      </c>
      <c r="O45" s="41" t="s">
        <v>4998</v>
      </c>
      <c r="P45" s="41">
        <v>24</v>
      </c>
      <c r="Q45" s="41">
        <v>2</v>
      </c>
      <c r="S45" t="s">
        <v>4996</v>
      </c>
      <c r="T45" t="s">
        <v>882</v>
      </c>
      <c r="V45" t="s">
        <v>4999</v>
      </c>
      <c r="X45">
        <v>1</v>
      </c>
      <c r="Y45" t="s">
        <v>5000</v>
      </c>
      <c r="AH45" t="s">
        <v>359</v>
      </c>
    </row>
    <row r="46" spans="1:34" ht="15.75">
      <c r="A46" s="29">
        <f t="shared" si="0"/>
        <v>18000</v>
      </c>
      <c r="B46" s="30">
        <v>568</v>
      </c>
      <c r="C46" s="30">
        <v>1</v>
      </c>
      <c r="D46" s="30">
        <v>1817</v>
      </c>
      <c r="E46">
        <v>12035</v>
      </c>
      <c r="F46">
        <v>22</v>
      </c>
      <c r="H46" t="s">
        <v>1541</v>
      </c>
      <c r="I46" s="30">
        <v>0</v>
      </c>
      <c r="J46" s="30">
        <v>1800</v>
      </c>
      <c r="K46" s="30" t="s">
        <v>1549</v>
      </c>
      <c r="L46" s="43" t="s">
        <v>4995</v>
      </c>
      <c r="M46" s="41" t="s">
        <v>4997</v>
      </c>
      <c r="O46" s="41" t="s">
        <v>136</v>
      </c>
      <c r="P46" s="41">
        <v>24</v>
      </c>
      <c r="Q46" s="41">
        <v>2</v>
      </c>
      <c r="S46" t="s">
        <v>3153</v>
      </c>
      <c r="T46" t="s">
        <v>1256</v>
      </c>
      <c r="U46" t="s">
        <v>137</v>
      </c>
      <c r="V46" t="s">
        <v>4999</v>
      </c>
      <c r="X46">
        <v>0.5</v>
      </c>
      <c r="Y46" t="s">
        <v>138</v>
      </c>
      <c r="AH46" t="s">
        <v>359</v>
      </c>
    </row>
    <row r="47" spans="1:34" ht="15.75">
      <c r="A47" s="29">
        <f t="shared" si="0"/>
        <v>21340</v>
      </c>
      <c r="B47" s="8">
        <v>654</v>
      </c>
      <c r="C47" s="8">
        <v>9</v>
      </c>
      <c r="D47" s="2">
        <v>1817</v>
      </c>
      <c r="E47">
        <v>6681</v>
      </c>
      <c r="F47" s="8">
        <v>23</v>
      </c>
      <c r="G47" s="7"/>
      <c r="H47" s="9" t="s">
        <v>1540</v>
      </c>
      <c r="I47" s="8">
        <v>0</v>
      </c>
      <c r="J47" s="8">
        <v>1067</v>
      </c>
      <c r="K47" s="8" t="s">
        <v>1549</v>
      </c>
      <c r="L47" s="43" t="s">
        <v>5001</v>
      </c>
      <c r="M47" s="41" t="s">
        <v>5003</v>
      </c>
      <c r="N47" s="41" t="s">
        <v>5004</v>
      </c>
      <c r="O47" s="41" t="s">
        <v>5005</v>
      </c>
      <c r="P47" s="41">
        <v>5</v>
      </c>
      <c r="Q47" s="41">
        <v>2</v>
      </c>
      <c r="S47" t="s">
        <v>5002</v>
      </c>
      <c r="T47" t="s">
        <v>2974</v>
      </c>
      <c r="V47" t="s">
        <v>3475</v>
      </c>
      <c r="X47">
        <v>1</v>
      </c>
      <c r="Y47" t="s">
        <v>5006</v>
      </c>
      <c r="AH47" t="s">
        <v>359</v>
      </c>
    </row>
    <row r="48" spans="1:34" ht="15.75">
      <c r="A48" s="29">
        <f t="shared" si="0"/>
        <v>1805</v>
      </c>
      <c r="B48" s="30">
        <v>568</v>
      </c>
      <c r="C48" s="30">
        <v>1</v>
      </c>
      <c r="D48" s="30">
        <v>1817</v>
      </c>
      <c r="E48">
        <v>12036</v>
      </c>
      <c r="F48" s="30">
        <v>23</v>
      </c>
      <c r="H48" t="s">
        <v>1540</v>
      </c>
      <c r="I48" s="30">
        <v>1805</v>
      </c>
      <c r="J48" s="30">
        <v>0</v>
      </c>
      <c r="K48" s="30" t="s">
        <v>1549</v>
      </c>
      <c r="L48" s="43" t="s">
        <v>5001</v>
      </c>
      <c r="P48" s="41">
        <v>5</v>
      </c>
      <c r="Q48" s="41">
        <v>2</v>
      </c>
      <c r="R48" s="41">
        <v>72</v>
      </c>
      <c r="S48" t="s">
        <v>1547</v>
      </c>
      <c r="AH48" t="s">
        <v>359</v>
      </c>
    </row>
    <row r="49" spans="1:34" ht="15.75">
      <c r="A49" s="29">
        <f t="shared" si="0"/>
        <v>16000</v>
      </c>
      <c r="B49" s="18">
        <v>864</v>
      </c>
      <c r="C49" s="15">
        <v>6</v>
      </c>
      <c r="D49" s="2">
        <v>1817</v>
      </c>
      <c r="E49">
        <v>4572</v>
      </c>
      <c r="F49" s="18">
        <v>24</v>
      </c>
      <c r="G49" s="18"/>
      <c r="H49" s="18" t="s">
        <v>1540</v>
      </c>
      <c r="I49" s="18">
        <v>0</v>
      </c>
      <c r="J49" s="18">
        <v>800</v>
      </c>
      <c r="K49" s="15" t="s">
        <v>866</v>
      </c>
      <c r="L49" s="43" t="s">
        <v>4656</v>
      </c>
      <c r="P49" s="41">
        <v>20</v>
      </c>
      <c r="Q49" s="41">
        <v>2</v>
      </c>
      <c r="R49" s="41">
        <v>79</v>
      </c>
      <c r="S49" t="s">
        <v>3321</v>
      </c>
      <c r="T49" s="15"/>
      <c r="U49" s="15"/>
      <c r="V49" s="15"/>
      <c r="W49" s="15"/>
      <c r="X49" s="15">
        <v>1</v>
      </c>
      <c r="Y49" s="15" t="s">
        <v>3716</v>
      </c>
      <c r="Z49" s="15"/>
      <c r="AA49" s="15"/>
      <c r="AB49" s="15"/>
      <c r="AC49" s="15"/>
      <c r="AD49" s="15"/>
      <c r="AE49" s="15"/>
      <c r="AF49" s="15"/>
      <c r="AG49" s="15"/>
      <c r="AH49" t="s">
        <v>359</v>
      </c>
    </row>
    <row r="50" spans="1:34" ht="15.75">
      <c r="A50" s="29">
        <f t="shared" si="0"/>
        <v>40031</v>
      </c>
      <c r="B50" s="8">
        <v>659</v>
      </c>
      <c r="C50" s="2">
        <v>9</v>
      </c>
      <c r="D50" s="2">
        <v>1817</v>
      </c>
      <c r="E50">
        <v>6853</v>
      </c>
      <c r="F50" s="8">
        <v>24</v>
      </c>
      <c r="G50" s="7"/>
      <c r="H50" s="7" t="s">
        <v>1549</v>
      </c>
      <c r="I50" s="21">
        <f>4897+1134</f>
        <v>6031</v>
      </c>
      <c r="J50" s="8">
        <f>900+800</f>
        <v>1700</v>
      </c>
      <c r="K50" s="2" t="s">
        <v>866</v>
      </c>
      <c r="L50" s="43" t="s">
        <v>4656</v>
      </c>
      <c r="M50" s="41" t="s">
        <v>1181</v>
      </c>
      <c r="N50" s="41" t="s">
        <v>1555</v>
      </c>
      <c r="O50" s="41" t="s">
        <v>731</v>
      </c>
      <c r="P50" s="41">
        <v>20</v>
      </c>
      <c r="Q50" s="41">
        <v>2</v>
      </c>
      <c r="R50" s="41">
        <v>79</v>
      </c>
      <c r="S50" t="s">
        <v>730</v>
      </c>
      <c r="T50" t="s">
        <v>732</v>
      </c>
      <c r="V50" t="s">
        <v>733</v>
      </c>
      <c r="X50">
        <v>1</v>
      </c>
      <c r="Y50" t="s">
        <v>734</v>
      </c>
      <c r="AH50" t="s">
        <v>359</v>
      </c>
    </row>
    <row r="51" spans="1:34" ht="15.75">
      <c r="A51" s="29">
        <f t="shared" si="0"/>
        <v>18000</v>
      </c>
      <c r="B51" s="8">
        <v>670</v>
      </c>
      <c r="C51" s="2">
        <v>9</v>
      </c>
      <c r="D51" s="2">
        <v>1817</v>
      </c>
      <c r="E51">
        <v>7270</v>
      </c>
      <c r="F51" s="8">
        <v>25</v>
      </c>
      <c r="G51" s="7"/>
      <c r="H51" s="7" t="s">
        <v>1540</v>
      </c>
      <c r="I51" s="8">
        <v>0</v>
      </c>
      <c r="J51" s="8">
        <v>1800</v>
      </c>
      <c r="K51" s="8" t="s">
        <v>870</v>
      </c>
      <c r="L51" s="43" t="s">
        <v>5101</v>
      </c>
      <c r="M51" s="41" t="s">
        <v>5102</v>
      </c>
      <c r="O51" s="41" t="s">
        <v>5103</v>
      </c>
      <c r="P51" s="41">
        <v>9</v>
      </c>
      <c r="Q51" s="41">
        <v>2</v>
      </c>
      <c r="R51" s="41" t="s">
        <v>1547</v>
      </c>
      <c r="S51" s="38" t="s">
        <v>271</v>
      </c>
      <c r="T51" t="s">
        <v>5104</v>
      </c>
      <c r="V51" t="s">
        <v>1178</v>
      </c>
      <c r="X51">
        <v>0.5</v>
      </c>
      <c r="Y51" t="s">
        <v>5105</v>
      </c>
      <c r="AH51" t="s">
        <v>359</v>
      </c>
    </row>
    <row r="52" spans="1:34" ht="15.75">
      <c r="A52" s="29">
        <f t="shared" si="0"/>
        <v>20950</v>
      </c>
      <c r="B52" s="31">
        <v>580</v>
      </c>
      <c r="C52" s="31">
        <v>1</v>
      </c>
      <c r="D52" s="31">
        <v>1817</v>
      </c>
      <c r="E52">
        <v>12439</v>
      </c>
      <c r="F52" s="31">
        <v>25</v>
      </c>
      <c r="G52" s="9"/>
      <c r="H52" s="31" t="s">
        <v>1549</v>
      </c>
      <c r="I52" s="31">
        <f>20304+236+282+128</f>
        <v>20950</v>
      </c>
      <c r="J52" s="31">
        <v>0</v>
      </c>
      <c r="K52" s="30" t="s">
        <v>870</v>
      </c>
      <c r="L52" s="43" t="s">
        <v>269</v>
      </c>
      <c r="M52" s="41" t="s">
        <v>5102</v>
      </c>
      <c r="N52" s="41" t="s">
        <v>851</v>
      </c>
      <c r="O52" s="41" t="s">
        <v>270</v>
      </c>
      <c r="P52" s="41">
        <v>9</v>
      </c>
      <c r="Q52" s="41">
        <v>2</v>
      </c>
      <c r="R52" s="41">
        <v>74</v>
      </c>
      <c r="S52" s="38" t="s">
        <v>271</v>
      </c>
      <c r="T52" s="38" t="s">
        <v>272</v>
      </c>
      <c r="U52" s="38"/>
      <c r="V52" s="38" t="s">
        <v>1178</v>
      </c>
      <c r="W52" s="38"/>
      <c r="AA52" s="33"/>
      <c r="AB52" s="30"/>
      <c r="AD52" s="30"/>
      <c r="AH52" t="s">
        <v>359</v>
      </c>
    </row>
    <row r="53" spans="1:34" ht="15.75">
      <c r="A53" s="29">
        <f t="shared" si="0"/>
        <v>130000</v>
      </c>
      <c r="B53" s="2">
        <v>472</v>
      </c>
      <c r="C53" s="2">
        <v>8</v>
      </c>
      <c r="D53" s="2">
        <v>1817</v>
      </c>
      <c r="E53">
        <v>9243</v>
      </c>
      <c r="F53" s="2">
        <v>26</v>
      </c>
      <c r="H53" t="s">
        <v>1540</v>
      </c>
      <c r="I53" s="2">
        <v>0</v>
      </c>
      <c r="J53" s="2">
        <v>6500</v>
      </c>
      <c r="K53" s="2" t="s">
        <v>874</v>
      </c>
      <c r="L53" s="43" t="s">
        <v>2656</v>
      </c>
      <c r="M53" s="41" t="s">
        <v>1181</v>
      </c>
      <c r="N53" s="41" t="s">
        <v>1555</v>
      </c>
      <c r="O53" s="41" t="s">
        <v>2657</v>
      </c>
      <c r="P53" s="41">
        <v>8</v>
      </c>
      <c r="Q53" s="41">
        <v>2</v>
      </c>
      <c r="R53" s="41">
        <v>61</v>
      </c>
      <c r="S53" t="s">
        <v>2658</v>
      </c>
      <c r="T53" t="s">
        <v>4565</v>
      </c>
      <c r="V53" t="s">
        <v>612</v>
      </c>
      <c r="X53">
        <v>1</v>
      </c>
      <c r="Y53" t="s">
        <v>2659</v>
      </c>
      <c r="AH53" t="s">
        <v>359</v>
      </c>
    </row>
    <row r="54" spans="1:34" ht="15.75">
      <c r="A54" s="29">
        <f t="shared" si="0"/>
        <v>45284</v>
      </c>
      <c r="B54" s="30">
        <v>589</v>
      </c>
      <c r="C54" s="30">
        <v>1</v>
      </c>
      <c r="D54" s="30">
        <v>1817</v>
      </c>
      <c r="E54">
        <v>12742</v>
      </c>
      <c r="F54" s="30">
        <v>26</v>
      </c>
      <c r="G54" s="29"/>
      <c r="H54" t="s">
        <v>1540</v>
      </c>
      <c r="I54" s="33">
        <f>684+600</f>
        <v>1284</v>
      </c>
      <c r="J54" s="30">
        <f>44000/20</f>
        <v>2200</v>
      </c>
      <c r="K54" s="30" t="s">
        <v>874</v>
      </c>
      <c r="L54" s="43" t="s">
        <v>2656</v>
      </c>
      <c r="M54" s="41" t="s">
        <v>1181</v>
      </c>
      <c r="N54" s="41" t="s">
        <v>1555</v>
      </c>
      <c r="O54" s="41" t="s">
        <v>2657</v>
      </c>
      <c r="P54" s="41">
        <v>8</v>
      </c>
      <c r="Q54" s="41">
        <v>2</v>
      </c>
      <c r="R54" s="41">
        <v>61</v>
      </c>
      <c r="S54" t="s">
        <v>349</v>
      </c>
      <c r="T54" t="s">
        <v>5920</v>
      </c>
      <c r="V54" t="s">
        <v>612</v>
      </c>
      <c r="X54">
        <v>1</v>
      </c>
      <c r="Y54" t="s">
        <v>350</v>
      </c>
      <c r="AH54" t="s">
        <v>359</v>
      </c>
    </row>
    <row r="55" spans="1:34" ht="15.75">
      <c r="A55" s="29">
        <f t="shared" si="0"/>
        <v>11410</v>
      </c>
      <c r="B55" s="8">
        <v>640</v>
      </c>
      <c r="C55" s="2">
        <v>9</v>
      </c>
      <c r="D55" s="2">
        <v>1817</v>
      </c>
      <c r="E55">
        <v>6099</v>
      </c>
      <c r="F55" s="8">
        <v>27</v>
      </c>
      <c r="G55" s="7"/>
      <c r="H55" s="7" t="s">
        <v>1540</v>
      </c>
      <c r="I55" s="8">
        <v>0</v>
      </c>
      <c r="J55" s="8">
        <v>652</v>
      </c>
      <c r="K55" s="2" t="s">
        <v>884</v>
      </c>
      <c r="L55" s="43" t="s">
        <v>4060</v>
      </c>
      <c r="M55" s="41" t="s">
        <v>1546</v>
      </c>
      <c r="N55" s="41" t="s">
        <v>1545</v>
      </c>
      <c r="O55" s="41" t="s">
        <v>1724</v>
      </c>
      <c r="P55" s="41">
        <v>14</v>
      </c>
      <c r="Q55" s="41">
        <v>3</v>
      </c>
      <c r="R55" s="41" t="s">
        <v>1547</v>
      </c>
      <c r="S55" t="s">
        <v>1723</v>
      </c>
      <c r="T55" t="s">
        <v>1725</v>
      </c>
      <c r="V55" t="s">
        <v>1726</v>
      </c>
      <c r="X55">
        <f>56/64</f>
        <v>0.875</v>
      </c>
      <c r="Y55" t="s">
        <v>1727</v>
      </c>
      <c r="AH55" t="s">
        <v>359</v>
      </c>
    </row>
    <row r="56" spans="1:34" ht="15.75">
      <c r="A56" s="29">
        <f t="shared" si="0"/>
        <v>30139</v>
      </c>
      <c r="B56" s="30">
        <v>557</v>
      </c>
      <c r="C56" s="30">
        <v>1</v>
      </c>
      <c r="D56" s="30">
        <v>1817</v>
      </c>
      <c r="E56">
        <v>11671</v>
      </c>
      <c r="F56" s="30">
        <v>27</v>
      </c>
      <c r="H56" t="s">
        <v>1540</v>
      </c>
      <c r="I56" s="30">
        <v>12139</v>
      </c>
      <c r="J56" s="30">
        <v>900</v>
      </c>
      <c r="K56" s="30" t="s">
        <v>884</v>
      </c>
      <c r="L56" s="43" t="s">
        <v>4060</v>
      </c>
      <c r="M56" s="41" t="s">
        <v>3363</v>
      </c>
      <c r="N56" s="41" t="s">
        <v>1124</v>
      </c>
      <c r="O56" s="41" t="s">
        <v>1125</v>
      </c>
      <c r="P56" s="41">
        <v>14</v>
      </c>
      <c r="Q56" s="41">
        <v>3</v>
      </c>
      <c r="R56" s="41">
        <v>51</v>
      </c>
      <c r="S56" t="s">
        <v>1126</v>
      </c>
      <c r="T56" t="s">
        <v>1127</v>
      </c>
      <c r="V56" t="s">
        <v>1726</v>
      </c>
      <c r="X56">
        <v>1</v>
      </c>
      <c r="Y56" t="s">
        <v>4735</v>
      </c>
      <c r="AA56" t="s">
        <v>3370</v>
      </c>
      <c r="AH56" t="s">
        <v>359</v>
      </c>
    </row>
    <row r="57" spans="1:34" ht="15.75">
      <c r="A57" s="29">
        <f t="shared" si="0"/>
        <v>61</v>
      </c>
      <c r="B57" s="6">
        <v>957</v>
      </c>
      <c r="C57">
        <v>5</v>
      </c>
      <c r="D57" s="2">
        <v>1817</v>
      </c>
      <c r="E57">
        <v>228</v>
      </c>
      <c r="F57">
        <v>28</v>
      </c>
      <c r="H57" t="s">
        <v>1541</v>
      </c>
      <c r="I57" s="2">
        <v>61</v>
      </c>
      <c r="J57" s="2">
        <v>0</v>
      </c>
      <c r="K57" s="2" t="s">
        <v>864</v>
      </c>
      <c r="L57" s="43" t="s">
        <v>5681</v>
      </c>
      <c r="P57" s="41">
        <v>25</v>
      </c>
      <c r="Q57" s="41">
        <v>3</v>
      </c>
      <c r="R57" s="41">
        <v>77</v>
      </c>
      <c r="AH57" t="s">
        <v>359</v>
      </c>
    </row>
    <row r="58" spans="1:34" ht="15.75">
      <c r="A58" s="29">
        <f t="shared" si="0"/>
        <v>44000</v>
      </c>
      <c r="B58" s="2">
        <v>441</v>
      </c>
      <c r="C58" s="2">
        <v>8</v>
      </c>
      <c r="D58" s="2">
        <v>1817</v>
      </c>
      <c r="E58">
        <v>8183</v>
      </c>
      <c r="F58" s="2">
        <v>28</v>
      </c>
      <c r="H58" s="2" t="s">
        <v>1549</v>
      </c>
      <c r="I58" s="2">
        <v>0</v>
      </c>
      <c r="J58" s="2">
        <v>2200</v>
      </c>
      <c r="K58" s="2" t="s">
        <v>864</v>
      </c>
      <c r="L58" s="43" t="s">
        <v>5837</v>
      </c>
      <c r="M58" s="41" t="s">
        <v>1544</v>
      </c>
      <c r="N58" s="41" t="s">
        <v>4569</v>
      </c>
      <c r="O58" s="41" t="s">
        <v>4570</v>
      </c>
      <c r="P58" s="41">
        <v>25</v>
      </c>
      <c r="Q58" s="41">
        <v>3</v>
      </c>
      <c r="R58" s="41" t="s">
        <v>868</v>
      </c>
      <c r="S58" s="23" t="s">
        <v>4571</v>
      </c>
      <c r="T58" s="2" t="s">
        <v>4572</v>
      </c>
      <c r="V58" s="2" t="s">
        <v>3949</v>
      </c>
      <c r="W58" s="2"/>
      <c r="X58" s="2">
        <v>1</v>
      </c>
      <c r="Y58" s="2" t="s">
        <v>4573</v>
      </c>
      <c r="Z58" s="2"/>
      <c r="AA58" s="2"/>
      <c r="AB58" s="2"/>
      <c r="AH58" t="s">
        <v>359</v>
      </c>
    </row>
    <row r="59" spans="1:34" ht="15.75">
      <c r="A59" s="29">
        <f t="shared" si="0"/>
        <v>833</v>
      </c>
      <c r="B59" s="2">
        <v>745</v>
      </c>
      <c r="C59" s="2">
        <v>3</v>
      </c>
      <c r="D59" s="2">
        <v>1817</v>
      </c>
      <c r="E59">
        <v>9493</v>
      </c>
      <c r="F59" s="2">
        <v>29</v>
      </c>
      <c r="G59" s="1"/>
      <c r="H59" t="s">
        <v>1541</v>
      </c>
      <c r="I59" s="2">
        <v>833</v>
      </c>
      <c r="J59" s="2">
        <v>0</v>
      </c>
      <c r="K59" s="8" t="s">
        <v>850</v>
      </c>
      <c r="L59" s="43" t="s">
        <v>5757</v>
      </c>
      <c r="P59" s="41">
        <v>28</v>
      </c>
      <c r="Q59" s="41">
        <v>3</v>
      </c>
      <c r="R59" s="41" t="s">
        <v>868</v>
      </c>
      <c r="S59" t="s">
        <v>3321</v>
      </c>
      <c r="AH59" t="s">
        <v>359</v>
      </c>
    </row>
    <row r="60" spans="1:34" ht="15.75">
      <c r="A60" s="29">
        <f t="shared" si="0"/>
        <v>6500</v>
      </c>
      <c r="B60" s="31">
        <v>564</v>
      </c>
      <c r="C60" s="31">
        <v>1</v>
      </c>
      <c r="D60" s="31">
        <v>1817</v>
      </c>
      <c r="E60">
        <v>11917</v>
      </c>
      <c r="F60" s="31">
        <v>29</v>
      </c>
      <c r="G60" s="9"/>
      <c r="H60" s="9" t="s">
        <v>850</v>
      </c>
      <c r="I60" s="32">
        <v>0</v>
      </c>
      <c r="J60" s="32">
        <v>325</v>
      </c>
      <c r="K60" s="30" t="s">
        <v>865</v>
      </c>
      <c r="L60" s="43" t="s">
        <v>5757</v>
      </c>
      <c r="P60" s="41">
        <v>28</v>
      </c>
      <c r="Q60" s="41">
        <v>3</v>
      </c>
      <c r="R60" s="41" t="s">
        <v>1547</v>
      </c>
      <c r="S60" t="s">
        <v>3321</v>
      </c>
      <c r="X60">
        <v>1</v>
      </c>
      <c r="Y60" s="17" t="s">
        <v>4931</v>
      </c>
      <c r="AH60" t="s">
        <v>359</v>
      </c>
    </row>
    <row r="61" spans="1:34" ht="15.75">
      <c r="A61" s="29">
        <f t="shared" si="0"/>
        <v>9901</v>
      </c>
      <c r="B61" s="6">
        <v>983</v>
      </c>
      <c r="C61">
        <v>5</v>
      </c>
      <c r="D61" s="2">
        <v>1817</v>
      </c>
      <c r="E61">
        <v>545</v>
      </c>
      <c r="F61">
        <v>30</v>
      </c>
      <c r="H61" t="s">
        <v>1541</v>
      </c>
      <c r="I61" s="2">
        <v>9901</v>
      </c>
      <c r="J61" s="2">
        <v>0</v>
      </c>
      <c r="K61" s="2" t="s">
        <v>867</v>
      </c>
      <c r="L61" s="43" t="s">
        <v>1554</v>
      </c>
      <c r="P61" s="41">
        <v>31</v>
      </c>
      <c r="Q61" s="41">
        <v>3</v>
      </c>
      <c r="R61" s="41">
        <v>68</v>
      </c>
      <c r="S61" t="s">
        <v>3329</v>
      </c>
      <c r="AH61" t="s">
        <v>359</v>
      </c>
    </row>
    <row r="62" spans="1:34" ht="15.75">
      <c r="A62" s="29">
        <f t="shared" si="0"/>
        <v>40000</v>
      </c>
      <c r="B62" s="8">
        <v>663</v>
      </c>
      <c r="C62" s="2">
        <v>9</v>
      </c>
      <c r="D62" s="2">
        <v>1817</v>
      </c>
      <c r="E62">
        <v>7002</v>
      </c>
      <c r="F62" s="8">
        <v>30</v>
      </c>
      <c r="G62" s="7"/>
      <c r="H62" s="7" t="s">
        <v>1541</v>
      </c>
      <c r="I62" s="8">
        <v>0</v>
      </c>
      <c r="J62" s="8">
        <v>2000</v>
      </c>
      <c r="K62" s="2" t="s">
        <v>867</v>
      </c>
      <c r="L62" s="43" t="s">
        <v>1554</v>
      </c>
      <c r="M62" s="41" t="s">
        <v>782</v>
      </c>
      <c r="N62" s="41" t="s">
        <v>1555</v>
      </c>
      <c r="O62" s="41" t="s">
        <v>783</v>
      </c>
      <c r="P62" s="41">
        <v>31</v>
      </c>
      <c r="Q62" s="41">
        <v>3</v>
      </c>
      <c r="R62" s="41" t="s">
        <v>1547</v>
      </c>
      <c r="S62" t="s">
        <v>781</v>
      </c>
      <c r="T62" t="s">
        <v>4205</v>
      </c>
      <c r="V62" t="s">
        <v>3101</v>
      </c>
      <c r="X62">
        <v>1</v>
      </c>
      <c r="Y62" t="s">
        <v>784</v>
      </c>
      <c r="AH62" t="s">
        <v>359</v>
      </c>
    </row>
    <row r="63" spans="1:34" ht="15.75">
      <c r="A63" s="29">
        <f t="shared" si="0"/>
        <v>1335</v>
      </c>
      <c r="B63" s="6">
        <v>994</v>
      </c>
      <c r="C63">
        <v>5</v>
      </c>
      <c r="D63" s="2">
        <v>1817</v>
      </c>
      <c r="E63">
        <v>628</v>
      </c>
      <c r="F63">
        <v>31</v>
      </c>
      <c r="H63" t="s">
        <v>1540</v>
      </c>
      <c r="I63" s="2">
        <v>0</v>
      </c>
      <c r="J63" s="2">
        <v>356</v>
      </c>
      <c r="K63" s="2" t="s">
        <v>870</v>
      </c>
      <c r="L63" s="43" t="s">
        <v>1204</v>
      </c>
      <c r="M63" s="41" t="s">
        <v>2329</v>
      </c>
      <c r="N63" s="41" t="s">
        <v>3579</v>
      </c>
      <c r="O63" s="41" t="s">
        <v>2330</v>
      </c>
      <c r="P63" s="41">
        <v>23</v>
      </c>
      <c r="Q63" s="41">
        <v>3</v>
      </c>
      <c r="R63" s="41">
        <v>14</v>
      </c>
      <c r="S63" t="s">
        <v>3343</v>
      </c>
      <c r="T63" t="s">
        <v>2331</v>
      </c>
      <c r="V63" s="13" t="s">
        <v>1264</v>
      </c>
      <c r="W63" s="13"/>
      <c r="X63">
        <f>3/16</f>
        <v>0.1875</v>
      </c>
      <c r="Y63" t="s">
        <v>1567</v>
      </c>
      <c r="AH63" t="s">
        <v>359</v>
      </c>
    </row>
    <row r="64" spans="1:34" ht="15.75">
      <c r="A64" s="29">
        <f t="shared" si="0"/>
        <v>10755</v>
      </c>
      <c r="B64" s="8">
        <v>670</v>
      </c>
      <c r="C64" s="2">
        <v>9</v>
      </c>
      <c r="D64" s="2">
        <v>1817</v>
      </c>
      <c r="E64">
        <v>7283</v>
      </c>
      <c r="F64" s="8">
        <v>31</v>
      </c>
      <c r="G64" s="7"/>
      <c r="H64" s="7" t="s">
        <v>1540</v>
      </c>
      <c r="I64" s="8">
        <f>10655+100</f>
        <v>10755</v>
      </c>
      <c r="J64" s="8">
        <v>0</v>
      </c>
      <c r="K64" s="8" t="s">
        <v>870</v>
      </c>
      <c r="L64" s="43" t="s">
        <v>5682</v>
      </c>
      <c r="N64" s="41" t="s">
        <v>3347</v>
      </c>
      <c r="P64" s="41">
        <v>23</v>
      </c>
      <c r="Q64" s="41">
        <v>3</v>
      </c>
      <c r="R64" s="41">
        <v>14</v>
      </c>
      <c r="S64" t="s">
        <v>3343</v>
      </c>
      <c r="AH64" t="s">
        <v>359</v>
      </c>
    </row>
    <row r="65" spans="1:34" ht="15.75">
      <c r="A65" s="29">
        <f t="shared" si="0"/>
        <v>14000</v>
      </c>
      <c r="B65" s="6">
        <v>995</v>
      </c>
      <c r="C65">
        <v>5</v>
      </c>
      <c r="D65" s="2">
        <v>1817</v>
      </c>
      <c r="E65">
        <v>636</v>
      </c>
      <c r="F65">
        <v>32</v>
      </c>
      <c r="H65" t="s">
        <v>1540</v>
      </c>
      <c r="I65" s="2">
        <v>0</v>
      </c>
      <c r="J65" s="2">
        <f>325+375</f>
        <v>700</v>
      </c>
      <c r="K65" s="2" t="s">
        <v>870</v>
      </c>
      <c r="L65" s="43" t="s">
        <v>2143</v>
      </c>
      <c r="P65" s="41">
        <v>19</v>
      </c>
      <c r="Q65" s="41">
        <v>3</v>
      </c>
      <c r="R65" s="41" t="s">
        <v>1547</v>
      </c>
      <c r="S65" t="s">
        <v>3321</v>
      </c>
      <c r="X65">
        <v>1</v>
      </c>
      <c r="Y65" t="s">
        <v>3123</v>
      </c>
      <c r="AH65" t="s">
        <v>359</v>
      </c>
    </row>
    <row r="66" spans="1:34" ht="15.75">
      <c r="A66" s="29">
        <f aca="true" t="shared" si="1" ref="A66:A129">I66+J66*20*X66</f>
        <v>98829</v>
      </c>
      <c r="B66" s="8">
        <v>767</v>
      </c>
      <c r="C66" s="8">
        <v>3</v>
      </c>
      <c r="D66" s="8">
        <v>1817</v>
      </c>
      <c r="E66">
        <v>9712</v>
      </c>
      <c r="F66" s="8">
        <v>32</v>
      </c>
      <c r="G66" s="7"/>
      <c r="H66" s="9" t="s">
        <v>1540</v>
      </c>
      <c r="I66" s="9">
        <v>62829</v>
      </c>
      <c r="J66" s="8">
        <v>1800</v>
      </c>
      <c r="K66" s="2" t="s">
        <v>870</v>
      </c>
      <c r="L66" s="43" t="s">
        <v>2143</v>
      </c>
      <c r="M66" s="41" t="s">
        <v>2144</v>
      </c>
      <c r="N66" s="41" t="s">
        <v>5833</v>
      </c>
      <c r="O66" s="41" t="s">
        <v>2145</v>
      </c>
      <c r="P66" s="41">
        <v>19</v>
      </c>
      <c r="Q66" s="41">
        <v>3</v>
      </c>
      <c r="R66" s="41">
        <v>66</v>
      </c>
      <c r="S66" t="s">
        <v>2146</v>
      </c>
      <c r="T66" t="s">
        <v>2147</v>
      </c>
      <c r="V66" t="s">
        <v>1455</v>
      </c>
      <c r="X66">
        <v>1</v>
      </c>
      <c r="Y66" t="s">
        <v>2148</v>
      </c>
      <c r="AH66" t="s">
        <v>359</v>
      </c>
    </row>
    <row r="67" spans="1:34" ht="15.75">
      <c r="A67" s="29">
        <f t="shared" si="1"/>
        <v>122</v>
      </c>
      <c r="B67" s="2">
        <v>407</v>
      </c>
      <c r="C67" s="2">
        <v>9</v>
      </c>
      <c r="D67" s="2">
        <v>1817</v>
      </c>
      <c r="E67">
        <v>7562</v>
      </c>
      <c r="F67" s="2">
        <v>33</v>
      </c>
      <c r="G67" s="1"/>
      <c r="H67" s="1" t="s">
        <v>850</v>
      </c>
      <c r="I67" s="2">
        <v>122</v>
      </c>
      <c r="J67" s="2"/>
      <c r="K67" s="2" t="s">
        <v>874</v>
      </c>
      <c r="L67" s="43" t="s">
        <v>924</v>
      </c>
      <c r="P67" s="41">
        <v>26</v>
      </c>
      <c r="Q67" s="41">
        <v>3</v>
      </c>
      <c r="R67" s="41" t="s">
        <v>1547</v>
      </c>
      <c r="S67" t="s">
        <v>874</v>
      </c>
      <c r="V67" t="s">
        <v>925</v>
      </c>
      <c r="AH67" t="s">
        <v>359</v>
      </c>
    </row>
    <row r="68" spans="1:34" ht="15.75">
      <c r="A68" s="29">
        <f t="shared" si="1"/>
        <v>0</v>
      </c>
      <c r="B68" s="2">
        <v>679</v>
      </c>
      <c r="C68" s="2">
        <v>9</v>
      </c>
      <c r="D68" s="2">
        <v>1817</v>
      </c>
      <c r="E68">
        <v>7603</v>
      </c>
      <c r="F68" s="2">
        <v>33</v>
      </c>
      <c r="G68" s="1"/>
      <c r="H68" s="1" t="s">
        <v>850</v>
      </c>
      <c r="I68" s="2">
        <v>0</v>
      </c>
      <c r="J68" s="2">
        <v>0</v>
      </c>
      <c r="K68" s="8" t="s">
        <v>874</v>
      </c>
      <c r="L68" s="43" t="s">
        <v>924</v>
      </c>
      <c r="P68" s="41">
        <v>26</v>
      </c>
      <c r="Q68" s="41">
        <v>3</v>
      </c>
      <c r="R68" s="41">
        <v>67</v>
      </c>
      <c r="S68" t="s">
        <v>1547</v>
      </c>
      <c r="T68" t="s">
        <v>5037</v>
      </c>
      <c r="V68" t="s">
        <v>669</v>
      </c>
      <c r="AH68" t="s">
        <v>359</v>
      </c>
    </row>
    <row r="69" spans="1:34" ht="15.75">
      <c r="A69" s="29">
        <f t="shared" si="1"/>
        <v>30000</v>
      </c>
      <c r="B69" s="8">
        <v>639</v>
      </c>
      <c r="C69" s="2">
        <v>9</v>
      </c>
      <c r="D69" s="2">
        <v>1817</v>
      </c>
      <c r="E69">
        <v>6055</v>
      </c>
      <c r="F69" s="8">
        <v>34</v>
      </c>
      <c r="G69" s="7"/>
      <c r="H69" s="7" t="s">
        <v>1540</v>
      </c>
      <c r="I69" s="8">
        <v>0</v>
      </c>
      <c r="J69" s="8">
        <v>1500</v>
      </c>
      <c r="K69" s="2" t="s">
        <v>884</v>
      </c>
      <c r="L69" s="43" t="s">
        <v>3367</v>
      </c>
      <c r="M69" s="41" t="s">
        <v>4025</v>
      </c>
      <c r="N69" s="41" t="s">
        <v>4026</v>
      </c>
      <c r="O69" s="41" t="s">
        <v>4027</v>
      </c>
      <c r="P69" s="41">
        <v>2</v>
      </c>
      <c r="Q69" s="41">
        <v>4</v>
      </c>
      <c r="R69" s="41" t="s">
        <v>1547</v>
      </c>
      <c r="S69" t="s">
        <v>4024</v>
      </c>
      <c r="T69" t="s">
        <v>4028</v>
      </c>
      <c r="V69" s="4" t="s">
        <v>4029</v>
      </c>
      <c r="W69" s="4"/>
      <c r="X69">
        <v>1</v>
      </c>
      <c r="Y69" t="s">
        <v>4030</v>
      </c>
      <c r="AH69" t="s">
        <v>359</v>
      </c>
    </row>
    <row r="70" spans="1:34" ht="15.75">
      <c r="A70" s="29">
        <f t="shared" si="1"/>
        <v>74152</v>
      </c>
      <c r="B70" s="30">
        <v>556</v>
      </c>
      <c r="C70" s="30">
        <v>1</v>
      </c>
      <c r="D70" s="30">
        <v>1817</v>
      </c>
      <c r="E70">
        <v>11598</v>
      </c>
      <c r="F70" s="30">
        <v>34</v>
      </c>
      <c r="H70" t="s">
        <v>1540</v>
      </c>
      <c r="I70" s="30">
        <f>33312+600+4240</f>
        <v>38152</v>
      </c>
      <c r="J70" s="30">
        <v>1800</v>
      </c>
      <c r="K70" s="30" t="s">
        <v>884</v>
      </c>
      <c r="L70" s="43" t="s">
        <v>3367</v>
      </c>
      <c r="M70" s="41" t="s">
        <v>1100</v>
      </c>
      <c r="N70" s="41" t="s">
        <v>1101</v>
      </c>
      <c r="O70" s="41" t="s">
        <v>1102</v>
      </c>
      <c r="P70" s="41">
        <v>3</v>
      </c>
      <c r="Q70" s="41">
        <v>4</v>
      </c>
      <c r="R70" s="41">
        <v>43</v>
      </c>
      <c r="S70" t="s">
        <v>1103</v>
      </c>
      <c r="T70" t="s">
        <v>1104</v>
      </c>
      <c r="V70" t="s">
        <v>1105</v>
      </c>
      <c r="X70">
        <v>1</v>
      </c>
      <c r="Y70" t="s">
        <v>1106</v>
      </c>
      <c r="AA70" t="s">
        <v>2935</v>
      </c>
      <c r="AH70" t="s">
        <v>359</v>
      </c>
    </row>
    <row r="71" spans="1:34" ht="15.75">
      <c r="A71" s="29">
        <f t="shared" si="1"/>
        <v>1558</v>
      </c>
      <c r="B71" s="6">
        <v>949</v>
      </c>
      <c r="C71">
        <v>5</v>
      </c>
      <c r="D71" s="2">
        <v>1817</v>
      </c>
      <c r="E71">
        <v>155</v>
      </c>
      <c r="F71">
        <v>35</v>
      </c>
      <c r="H71" t="s">
        <v>1541</v>
      </c>
      <c r="I71" s="2">
        <v>1558</v>
      </c>
      <c r="J71" s="2">
        <v>0</v>
      </c>
      <c r="K71" s="2" t="s">
        <v>884</v>
      </c>
      <c r="L71" s="43" t="s">
        <v>2936</v>
      </c>
      <c r="P71" s="41">
        <v>11</v>
      </c>
      <c r="Q71" s="41">
        <v>4</v>
      </c>
      <c r="R71" s="41">
        <v>76</v>
      </c>
      <c r="AH71" t="s">
        <v>359</v>
      </c>
    </row>
    <row r="72" spans="1:34" ht="15.75">
      <c r="A72" s="29">
        <f t="shared" si="1"/>
        <v>30000</v>
      </c>
      <c r="B72" s="8">
        <v>736</v>
      </c>
      <c r="C72" s="8">
        <v>3</v>
      </c>
      <c r="D72" s="8">
        <v>1817</v>
      </c>
      <c r="E72">
        <v>9382</v>
      </c>
      <c r="F72" s="8">
        <v>35</v>
      </c>
      <c r="G72" s="7"/>
      <c r="H72" s="9" t="s">
        <v>1541</v>
      </c>
      <c r="I72" s="8">
        <v>0</v>
      </c>
      <c r="J72" s="8">
        <v>1500</v>
      </c>
      <c r="K72" s="2" t="s">
        <v>884</v>
      </c>
      <c r="L72" s="43" t="s">
        <v>2936</v>
      </c>
      <c r="M72" s="41" t="s">
        <v>4643</v>
      </c>
      <c r="O72" s="41" t="s">
        <v>2937</v>
      </c>
      <c r="P72" s="41">
        <v>11</v>
      </c>
      <c r="Q72" s="41">
        <v>4</v>
      </c>
      <c r="R72" s="41" t="s">
        <v>1547</v>
      </c>
      <c r="S72" t="s">
        <v>2938</v>
      </c>
      <c r="T72" t="s">
        <v>1263</v>
      </c>
      <c r="V72" t="s">
        <v>742</v>
      </c>
      <c r="X72">
        <v>1</v>
      </c>
      <c r="Y72" t="s">
        <v>2939</v>
      </c>
      <c r="AH72" t="s">
        <v>359</v>
      </c>
    </row>
    <row r="73" spans="1:34" ht="15.75">
      <c r="A73" s="29">
        <f t="shared" si="1"/>
        <v>41000</v>
      </c>
      <c r="B73" s="8">
        <v>640</v>
      </c>
      <c r="C73" s="2">
        <v>9</v>
      </c>
      <c r="D73" s="2">
        <v>1817</v>
      </c>
      <c r="E73">
        <v>6104</v>
      </c>
      <c r="F73" s="8">
        <v>36</v>
      </c>
      <c r="G73" s="7"/>
      <c r="H73" s="7" t="s">
        <v>1541</v>
      </c>
      <c r="I73" s="8">
        <v>0</v>
      </c>
      <c r="J73" s="8">
        <f>1000+1250+1100+750</f>
        <v>4100</v>
      </c>
      <c r="K73" s="2" t="s">
        <v>884</v>
      </c>
      <c r="L73" s="43" t="s">
        <v>1734</v>
      </c>
      <c r="M73" s="41" t="s">
        <v>1296</v>
      </c>
      <c r="O73" s="41" t="s">
        <v>1736</v>
      </c>
      <c r="P73" s="41">
        <v>2</v>
      </c>
      <c r="Q73" s="41">
        <v>4</v>
      </c>
      <c r="R73" s="41" t="s">
        <v>1547</v>
      </c>
      <c r="S73" t="s">
        <v>1735</v>
      </c>
      <c r="T73" t="s">
        <v>1297</v>
      </c>
      <c r="V73" t="s">
        <v>1737</v>
      </c>
      <c r="X73">
        <v>0.5</v>
      </c>
      <c r="Y73" t="s">
        <v>1738</v>
      </c>
      <c r="AH73" t="s">
        <v>359</v>
      </c>
    </row>
    <row r="74" spans="1:34" ht="15.75">
      <c r="A74" s="29">
        <f t="shared" si="1"/>
        <v>151740</v>
      </c>
      <c r="B74" s="8">
        <v>437</v>
      </c>
      <c r="C74" s="8">
        <v>8</v>
      </c>
      <c r="D74" s="8">
        <v>1817</v>
      </c>
      <c r="E74">
        <v>8008</v>
      </c>
      <c r="F74" s="8">
        <v>36</v>
      </c>
      <c r="G74" s="9"/>
      <c r="H74" s="9" t="s">
        <v>1541</v>
      </c>
      <c r="I74" s="8">
        <v>35480</v>
      </c>
      <c r="J74" s="8">
        <v>5813</v>
      </c>
      <c r="K74" s="2" t="s">
        <v>884</v>
      </c>
      <c r="L74" s="43" t="s">
        <v>1734</v>
      </c>
      <c r="M74" s="41" t="s">
        <v>5381</v>
      </c>
      <c r="N74" s="41" t="s">
        <v>1555</v>
      </c>
      <c r="O74" s="41" t="s">
        <v>5382</v>
      </c>
      <c r="P74" s="41">
        <v>2</v>
      </c>
      <c r="Q74" s="41">
        <v>4</v>
      </c>
      <c r="R74" s="41">
        <v>60</v>
      </c>
      <c r="S74" t="s">
        <v>5383</v>
      </c>
      <c r="T74" t="s">
        <v>2974</v>
      </c>
      <c r="V74" t="s">
        <v>5384</v>
      </c>
      <c r="X74">
        <v>1</v>
      </c>
      <c r="Y74" t="s">
        <v>5385</v>
      </c>
      <c r="AH74" t="s">
        <v>359</v>
      </c>
    </row>
    <row r="75" spans="1:34" ht="15.75">
      <c r="A75" s="29">
        <f t="shared" si="1"/>
        <v>86100</v>
      </c>
      <c r="B75" s="2">
        <v>642</v>
      </c>
      <c r="C75" s="2">
        <v>9</v>
      </c>
      <c r="D75" s="2">
        <v>1817</v>
      </c>
      <c r="E75">
        <v>6223</v>
      </c>
      <c r="F75" s="2">
        <v>37</v>
      </c>
      <c r="G75" s="1"/>
      <c r="H75" s="1" t="s">
        <v>1540</v>
      </c>
      <c r="I75" s="2">
        <v>0</v>
      </c>
      <c r="J75" s="2">
        <f>7700+910</f>
        <v>8610</v>
      </c>
      <c r="K75" s="8" t="s">
        <v>864</v>
      </c>
      <c r="L75" s="43" t="s">
        <v>1786</v>
      </c>
      <c r="M75" s="41" t="s">
        <v>1252</v>
      </c>
      <c r="N75" s="43" t="s">
        <v>974</v>
      </c>
      <c r="O75" s="43" t="s">
        <v>3406</v>
      </c>
      <c r="P75" s="41">
        <v>12</v>
      </c>
      <c r="Q75" s="41">
        <v>4</v>
      </c>
      <c r="R75" s="41" t="s">
        <v>1547</v>
      </c>
      <c r="S75" t="s">
        <v>1787</v>
      </c>
      <c r="T75" s="8" t="s">
        <v>3439</v>
      </c>
      <c r="U75" s="8" t="s">
        <v>3406</v>
      </c>
      <c r="V75" s="8" t="s">
        <v>3266</v>
      </c>
      <c r="X75">
        <v>0.5</v>
      </c>
      <c r="Y75" t="s">
        <v>1788</v>
      </c>
      <c r="AH75" t="s">
        <v>359</v>
      </c>
    </row>
    <row r="76" spans="1:34" ht="15.75">
      <c r="A76" s="29">
        <f t="shared" si="1"/>
        <v>6000</v>
      </c>
      <c r="B76" s="8">
        <v>739</v>
      </c>
      <c r="C76" s="2">
        <v>3</v>
      </c>
      <c r="D76" s="8">
        <v>1817</v>
      </c>
      <c r="E76">
        <v>9426</v>
      </c>
      <c r="F76" s="8">
        <v>37</v>
      </c>
      <c r="G76" s="7"/>
      <c r="H76" s="9" t="s">
        <v>1540</v>
      </c>
      <c r="I76" s="8">
        <v>0</v>
      </c>
      <c r="J76" s="8">
        <v>300</v>
      </c>
      <c r="K76" s="2" t="s">
        <v>864</v>
      </c>
      <c r="L76" s="43" t="s">
        <v>5309</v>
      </c>
      <c r="M76" s="41" t="s">
        <v>1252</v>
      </c>
      <c r="N76" s="41" t="s">
        <v>4579</v>
      </c>
      <c r="O76" s="41" t="s">
        <v>5310</v>
      </c>
      <c r="P76" s="41">
        <v>12</v>
      </c>
      <c r="Q76" s="41">
        <v>4</v>
      </c>
      <c r="R76" s="41" t="s">
        <v>868</v>
      </c>
      <c r="S76" s="11" t="s">
        <v>5311</v>
      </c>
      <c r="T76" s="11" t="s">
        <v>5312</v>
      </c>
      <c r="U76" s="11"/>
      <c r="V76" s="11" t="s">
        <v>5313</v>
      </c>
      <c r="W76" s="11"/>
      <c r="X76">
        <v>1</v>
      </c>
      <c r="Y76" t="s">
        <v>5314</v>
      </c>
      <c r="AH76" t="s">
        <v>359</v>
      </c>
    </row>
    <row r="77" spans="1:34" ht="15">
      <c r="A77" s="29">
        <f t="shared" si="1"/>
        <v>24000</v>
      </c>
      <c r="B77" s="15">
        <v>845</v>
      </c>
      <c r="C77" s="15">
        <v>6</v>
      </c>
      <c r="D77" s="15">
        <v>1817</v>
      </c>
      <c r="E77">
        <v>4000</v>
      </c>
      <c r="F77" s="15">
        <v>38</v>
      </c>
      <c r="G77" s="15"/>
      <c r="H77" s="15" t="s">
        <v>1540</v>
      </c>
      <c r="I77" s="15">
        <v>0</v>
      </c>
      <c r="J77" s="15">
        <v>2400</v>
      </c>
      <c r="K77" s="15" t="s">
        <v>864</v>
      </c>
      <c r="L77" s="43" t="s">
        <v>2443</v>
      </c>
      <c r="M77" s="41" t="s">
        <v>1277</v>
      </c>
      <c r="O77" s="41" t="s">
        <v>2444</v>
      </c>
      <c r="P77" s="41">
        <v>16</v>
      </c>
      <c r="Q77" s="41">
        <v>4</v>
      </c>
      <c r="S77" s="15" t="s">
        <v>1547</v>
      </c>
      <c r="T77" s="15"/>
      <c r="U77" s="15"/>
      <c r="V77" s="15" t="s">
        <v>1278</v>
      </c>
      <c r="W77" s="15"/>
      <c r="X77" s="15">
        <v>0.5</v>
      </c>
      <c r="Y77" s="15" t="s">
        <v>2445</v>
      </c>
      <c r="Z77" s="15"/>
      <c r="AA77" s="15"/>
      <c r="AB77" s="15"/>
      <c r="AC77" s="15"/>
      <c r="AD77" s="15"/>
      <c r="AE77" s="15"/>
      <c r="AF77" s="15"/>
      <c r="AG77" s="15"/>
      <c r="AH77" t="s">
        <v>359</v>
      </c>
    </row>
    <row r="78" spans="1:34" ht="15.75">
      <c r="A78" s="29">
        <f t="shared" si="1"/>
        <v>203486</v>
      </c>
      <c r="B78" s="2">
        <v>441</v>
      </c>
      <c r="C78" s="2">
        <v>8</v>
      </c>
      <c r="D78" s="2">
        <v>1817</v>
      </c>
      <c r="E78">
        <v>8180</v>
      </c>
      <c r="F78" s="2">
        <v>38</v>
      </c>
      <c r="H78" s="2" t="s">
        <v>1549</v>
      </c>
      <c r="I78" s="2">
        <v>75486</v>
      </c>
      <c r="J78" s="2">
        <f>3000+3400</f>
        <v>6400</v>
      </c>
      <c r="K78" s="2" t="s">
        <v>864</v>
      </c>
      <c r="L78" s="43" t="s">
        <v>2443</v>
      </c>
      <c r="M78" s="41" t="s">
        <v>1543</v>
      </c>
      <c r="N78" s="41" t="s">
        <v>4562</v>
      </c>
      <c r="O78" s="41" t="s">
        <v>4563</v>
      </c>
      <c r="P78" s="41">
        <v>16</v>
      </c>
      <c r="Q78" s="41">
        <v>4</v>
      </c>
      <c r="R78" s="41">
        <v>58</v>
      </c>
      <c r="S78" s="23" t="s">
        <v>4564</v>
      </c>
      <c r="T78" s="2" t="s">
        <v>4565</v>
      </c>
      <c r="V78" s="24" t="s">
        <v>4566</v>
      </c>
      <c r="W78" s="24"/>
      <c r="X78" s="2">
        <v>1</v>
      </c>
      <c r="Y78" s="2" t="s">
        <v>4567</v>
      </c>
      <c r="Z78" s="2"/>
      <c r="AA78" s="2"/>
      <c r="AB78" s="2"/>
      <c r="AH78" t="s">
        <v>359</v>
      </c>
    </row>
    <row r="79" spans="1:34" ht="15.75">
      <c r="A79" s="29">
        <f t="shared" si="1"/>
        <v>40000</v>
      </c>
      <c r="B79" s="2">
        <v>647</v>
      </c>
      <c r="C79" s="2">
        <v>9</v>
      </c>
      <c r="D79" s="2">
        <v>1817</v>
      </c>
      <c r="E79">
        <v>6423</v>
      </c>
      <c r="F79" s="2">
        <v>39</v>
      </c>
      <c r="G79" s="1"/>
      <c r="H79" s="9" t="s">
        <v>1549</v>
      </c>
      <c r="I79" s="8">
        <v>0</v>
      </c>
      <c r="J79">
        <v>2000</v>
      </c>
      <c r="K79" s="8" t="s">
        <v>1549</v>
      </c>
      <c r="L79" s="43" t="s">
        <v>632</v>
      </c>
      <c r="M79" s="41" t="s">
        <v>2788</v>
      </c>
      <c r="N79" s="41" t="s">
        <v>573</v>
      </c>
      <c r="O79" s="41" t="s">
        <v>633</v>
      </c>
      <c r="P79" s="41">
        <v>11</v>
      </c>
      <c r="Q79" s="41">
        <v>4</v>
      </c>
      <c r="R79" s="41" t="s">
        <v>1547</v>
      </c>
      <c r="S79" t="s">
        <v>1547</v>
      </c>
      <c r="T79" t="s">
        <v>3442</v>
      </c>
      <c r="V79" t="s">
        <v>5816</v>
      </c>
      <c r="X79">
        <v>1</v>
      </c>
      <c r="Y79" t="s">
        <v>634</v>
      </c>
      <c r="AH79" t="s">
        <v>359</v>
      </c>
    </row>
    <row r="80" spans="1:34" ht="15.75">
      <c r="A80" s="29">
        <f t="shared" si="1"/>
        <v>902264</v>
      </c>
      <c r="B80" s="2">
        <v>443</v>
      </c>
      <c r="C80" s="2">
        <v>8</v>
      </c>
      <c r="D80" s="2">
        <v>1817</v>
      </c>
      <c r="E80">
        <v>8242</v>
      </c>
      <c r="F80" s="2">
        <v>39</v>
      </c>
      <c r="H80" s="18" t="s">
        <v>1540</v>
      </c>
      <c r="I80" s="2">
        <v>822264</v>
      </c>
      <c r="J80" s="2">
        <f>3600+400</f>
        <v>4000</v>
      </c>
      <c r="K80" s="2" t="s">
        <v>850</v>
      </c>
      <c r="L80" s="43" t="s">
        <v>632</v>
      </c>
      <c r="M80" s="41" t="s">
        <v>2788</v>
      </c>
      <c r="N80" s="41" t="s">
        <v>4004</v>
      </c>
      <c r="O80" s="41" t="s">
        <v>4607</v>
      </c>
      <c r="P80" s="41">
        <v>11</v>
      </c>
      <c r="Q80" s="41">
        <v>4</v>
      </c>
      <c r="R80" s="41">
        <v>73</v>
      </c>
      <c r="S80" t="s">
        <v>4608</v>
      </c>
      <c r="T80" t="s">
        <v>4646</v>
      </c>
      <c r="V80" t="s">
        <v>5816</v>
      </c>
      <c r="X80">
        <v>1</v>
      </c>
      <c r="Y80" t="s">
        <v>4609</v>
      </c>
      <c r="AA80" t="s">
        <v>4610</v>
      </c>
      <c r="AH80" t="s">
        <v>359</v>
      </c>
    </row>
    <row r="81" spans="1:34" ht="15.75">
      <c r="A81" s="29">
        <f t="shared" si="1"/>
        <v>26000</v>
      </c>
      <c r="B81" s="15">
        <v>851</v>
      </c>
      <c r="C81" s="2">
        <v>6</v>
      </c>
      <c r="D81" s="2">
        <v>1817</v>
      </c>
      <c r="E81">
        <v>4086</v>
      </c>
      <c r="F81" s="15">
        <v>40</v>
      </c>
      <c r="G81" s="15"/>
      <c r="H81" t="s">
        <v>1549</v>
      </c>
      <c r="I81" s="15">
        <v>0</v>
      </c>
      <c r="J81" s="15">
        <v>1300</v>
      </c>
      <c r="K81" s="15" t="s">
        <v>850</v>
      </c>
      <c r="L81" s="43" t="s">
        <v>3652</v>
      </c>
      <c r="M81" s="41" t="s">
        <v>1697</v>
      </c>
      <c r="N81" s="41" t="s">
        <v>966</v>
      </c>
      <c r="O81" s="41" t="s">
        <v>2470</v>
      </c>
      <c r="P81" s="41">
        <v>1</v>
      </c>
      <c r="Q81" s="41">
        <v>4</v>
      </c>
      <c r="R81" s="41" t="s">
        <v>868</v>
      </c>
      <c r="S81" s="15" t="s">
        <v>1547</v>
      </c>
      <c r="T81" s="15"/>
      <c r="V81" s="15" t="s">
        <v>2471</v>
      </c>
      <c r="W81" s="15"/>
      <c r="X81" s="15">
        <v>1</v>
      </c>
      <c r="Y81" s="15" t="s">
        <v>2472</v>
      </c>
      <c r="Z81" s="15"/>
      <c r="AA81" s="15"/>
      <c r="AB81" s="15"/>
      <c r="AC81" s="15"/>
      <c r="AD81" s="15"/>
      <c r="AE81" s="15"/>
      <c r="AF81" s="15"/>
      <c r="AG81" s="15"/>
      <c r="AH81" t="s">
        <v>359</v>
      </c>
    </row>
    <row r="82" spans="1:34" ht="15.75">
      <c r="A82" s="29">
        <f t="shared" si="1"/>
        <v>59126</v>
      </c>
      <c r="B82" s="8">
        <v>648</v>
      </c>
      <c r="C82" s="8">
        <v>9</v>
      </c>
      <c r="D82" s="2">
        <v>1817</v>
      </c>
      <c r="E82">
        <v>6470</v>
      </c>
      <c r="F82" s="8">
        <v>40</v>
      </c>
      <c r="G82" s="7"/>
      <c r="H82" s="9" t="s">
        <v>1540</v>
      </c>
      <c r="I82" s="8">
        <v>33126</v>
      </c>
      <c r="J82" s="8">
        <v>1300</v>
      </c>
      <c r="K82" s="8" t="s">
        <v>850</v>
      </c>
      <c r="L82" s="43" t="s">
        <v>641</v>
      </c>
      <c r="M82" s="41" t="s">
        <v>1298</v>
      </c>
      <c r="N82" s="41" t="s">
        <v>1555</v>
      </c>
      <c r="O82" s="41" t="s">
        <v>646</v>
      </c>
      <c r="P82" s="41">
        <v>1</v>
      </c>
      <c r="Q82" s="41">
        <v>4</v>
      </c>
      <c r="R82" s="41">
        <v>80</v>
      </c>
      <c r="S82" t="s">
        <v>1547</v>
      </c>
      <c r="T82" t="s">
        <v>1262</v>
      </c>
      <c r="V82" t="s">
        <v>647</v>
      </c>
      <c r="X82">
        <v>1</v>
      </c>
      <c r="Y82" t="s">
        <v>648</v>
      </c>
      <c r="AH82" t="s">
        <v>359</v>
      </c>
    </row>
    <row r="83" spans="1:34" ht="15.75">
      <c r="A83" s="29">
        <f t="shared" si="1"/>
        <v>224968</v>
      </c>
      <c r="B83" s="2">
        <v>492</v>
      </c>
      <c r="C83" s="2">
        <v>8</v>
      </c>
      <c r="D83" s="2">
        <v>1817</v>
      </c>
      <c r="E83">
        <v>9262</v>
      </c>
      <c r="F83" s="2">
        <v>41</v>
      </c>
      <c r="H83" t="s">
        <v>850</v>
      </c>
      <c r="I83" s="2">
        <v>224968</v>
      </c>
      <c r="J83" s="2">
        <v>0</v>
      </c>
      <c r="K83" s="2" t="s">
        <v>1277</v>
      </c>
      <c r="L83" s="43" t="s">
        <v>2666</v>
      </c>
      <c r="M83" s="41" t="s">
        <v>2667</v>
      </c>
      <c r="N83" s="41" t="s">
        <v>1397</v>
      </c>
      <c r="O83" s="41" t="s">
        <v>2668</v>
      </c>
      <c r="P83" s="41">
        <v>14</v>
      </c>
      <c r="Q83" s="41">
        <v>4</v>
      </c>
      <c r="R83" s="41">
        <v>75</v>
      </c>
      <c r="S83" t="s">
        <v>3329</v>
      </c>
      <c r="T83" t="s">
        <v>969</v>
      </c>
      <c r="V83" t="s">
        <v>2669</v>
      </c>
      <c r="AH83" t="s">
        <v>359</v>
      </c>
    </row>
    <row r="84" spans="1:34" ht="15.75">
      <c r="A84" s="29">
        <f t="shared" si="1"/>
        <v>20820</v>
      </c>
      <c r="B84" s="8">
        <v>752</v>
      </c>
      <c r="C84" s="2">
        <v>3</v>
      </c>
      <c r="D84" s="8">
        <v>1817</v>
      </c>
      <c r="E84">
        <v>9564</v>
      </c>
      <c r="F84" s="8">
        <v>41</v>
      </c>
      <c r="G84" s="7"/>
      <c r="H84" s="9" t="s">
        <v>1541</v>
      </c>
      <c r="I84" s="8">
        <v>0</v>
      </c>
      <c r="J84" s="8">
        <v>1041</v>
      </c>
      <c r="K84" s="2" t="s">
        <v>1277</v>
      </c>
      <c r="L84" s="43" t="s">
        <v>1960</v>
      </c>
      <c r="M84" s="41" t="s">
        <v>1961</v>
      </c>
      <c r="N84" s="41" t="s">
        <v>1545</v>
      </c>
      <c r="O84" s="41" t="s">
        <v>1962</v>
      </c>
      <c r="P84" s="41">
        <v>14</v>
      </c>
      <c r="Q84" s="41">
        <v>4</v>
      </c>
      <c r="S84" t="s">
        <v>1963</v>
      </c>
      <c r="T84" t="s">
        <v>4649</v>
      </c>
      <c r="V84" t="s">
        <v>3266</v>
      </c>
      <c r="X84">
        <v>1</v>
      </c>
      <c r="Y84" t="s">
        <v>1964</v>
      </c>
      <c r="AH84" t="s">
        <v>359</v>
      </c>
    </row>
    <row r="85" spans="1:34" ht="15.75">
      <c r="A85" s="29">
        <f t="shared" si="1"/>
        <v>1200</v>
      </c>
      <c r="B85" s="6">
        <v>976</v>
      </c>
      <c r="C85">
        <v>5</v>
      </c>
      <c r="D85" s="2">
        <v>1817</v>
      </c>
      <c r="E85">
        <v>471</v>
      </c>
      <c r="F85">
        <v>42</v>
      </c>
      <c r="H85" t="s">
        <v>1541</v>
      </c>
      <c r="I85" s="2">
        <v>1200</v>
      </c>
      <c r="J85" s="2">
        <v>0</v>
      </c>
      <c r="K85" s="2" t="s">
        <v>866</v>
      </c>
      <c r="L85" s="43" t="s">
        <v>3349</v>
      </c>
      <c r="P85" s="41">
        <v>14</v>
      </c>
      <c r="Q85" s="41">
        <v>4</v>
      </c>
      <c r="R85" s="41">
        <v>38</v>
      </c>
      <c r="S85" t="s">
        <v>3321</v>
      </c>
      <c r="AH85" t="s">
        <v>359</v>
      </c>
    </row>
    <row r="86" spans="1:34" ht="15.75">
      <c r="A86" s="29">
        <f t="shared" si="1"/>
        <v>12000</v>
      </c>
      <c r="B86" s="8">
        <v>755</v>
      </c>
      <c r="C86" s="2">
        <v>3</v>
      </c>
      <c r="D86" s="8">
        <v>1817</v>
      </c>
      <c r="E86">
        <v>9595</v>
      </c>
      <c r="F86" s="8">
        <v>42</v>
      </c>
      <c r="G86" s="7"/>
      <c r="H86" s="7"/>
      <c r="I86" s="8">
        <v>0</v>
      </c>
      <c r="J86" s="8">
        <v>600</v>
      </c>
      <c r="K86" s="2" t="s">
        <v>866</v>
      </c>
      <c r="L86" s="43" t="s">
        <v>5683</v>
      </c>
      <c r="P86" s="41">
        <v>14</v>
      </c>
      <c r="Q86" s="41">
        <v>4</v>
      </c>
      <c r="R86" s="41" t="s">
        <v>1547</v>
      </c>
      <c r="S86" t="s">
        <v>3321</v>
      </c>
      <c r="X86">
        <v>1</v>
      </c>
      <c r="Y86" t="s">
        <v>1986</v>
      </c>
      <c r="AH86" t="s">
        <v>359</v>
      </c>
    </row>
    <row r="87" spans="1:34" ht="15.75">
      <c r="A87" s="29">
        <f t="shared" si="1"/>
        <v>17522</v>
      </c>
      <c r="B87" s="6">
        <v>980</v>
      </c>
      <c r="C87">
        <v>5</v>
      </c>
      <c r="D87" s="2">
        <v>1817</v>
      </c>
      <c r="E87">
        <v>505</v>
      </c>
      <c r="F87">
        <v>43</v>
      </c>
      <c r="H87" t="s">
        <v>1549</v>
      </c>
      <c r="I87" s="2">
        <v>12522</v>
      </c>
      <c r="J87" s="2">
        <v>2000</v>
      </c>
      <c r="K87" s="2" t="s">
        <v>866</v>
      </c>
      <c r="L87" s="43" t="s">
        <v>364</v>
      </c>
      <c r="P87" s="41">
        <v>26</v>
      </c>
      <c r="Q87" s="41">
        <v>4</v>
      </c>
      <c r="R87" s="41">
        <v>14</v>
      </c>
      <c r="S87" t="s">
        <v>3343</v>
      </c>
      <c r="X87">
        <f>1/8</f>
        <v>0.125</v>
      </c>
      <c r="Y87" t="s">
        <v>5278</v>
      </c>
      <c r="AH87" t="s">
        <v>359</v>
      </c>
    </row>
    <row r="88" spans="1:34" ht="15.75">
      <c r="A88" s="29">
        <f t="shared" si="1"/>
        <v>1000</v>
      </c>
      <c r="B88" s="30">
        <v>574</v>
      </c>
      <c r="C88" s="30">
        <v>1</v>
      </c>
      <c r="D88" s="30">
        <v>1817</v>
      </c>
      <c r="E88">
        <v>12232</v>
      </c>
      <c r="F88" s="30">
        <v>43</v>
      </c>
      <c r="H88" t="s">
        <v>1549</v>
      </c>
      <c r="I88" s="29">
        <v>0</v>
      </c>
      <c r="J88" s="29">
        <v>400</v>
      </c>
      <c r="K88" s="30" t="s">
        <v>866</v>
      </c>
      <c r="L88" s="43" t="s">
        <v>364</v>
      </c>
      <c r="M88" s="41" t="s">
        <v>192</v>
      </c>
      <c r="N88" s="41" t="s">
        <v>3579</v>
      </c>
      <c r="O88" s="41" t="s">
        <v>5773</v>
      </c>
      <c r="P88" s="41">
        <v>26</v>
      </c>
      <c r="Q88" s="41">
        <v>4</v>
      </c>
      <c r="R88" s="41" t="s">
        <v>1547</v>
      </c>
      <c r="S88" s="34" t="s">
        <v>847</v>
      </c>
      <c r="T88" s="30" t="s">
        <v>193</v>
      </c>
      <c r="V88" s="30" t="s">
        <v>4955</v>
      </c>
      <c r="W88" s="30"/>
      <c r="X88">
        <v>0.125</v>
      </c>
      <c r="Y88" t="s">
        <v>194</v>
      </c>
      <c r="AA88" s="30"/>
      <c r="AB88" s="30"/>
      <c r="AC88" s="30"/>
      <c r="AH88" t="s">
        <v>359</v>
      </c>
    </row>
    <row r="89" spans="1:34" ht="15.75">
      <c r="A89" s="39">
        <f t="shared" si="1"/>
        <v>2800</v>
      </c>
      <c r="B89" s="6">
        <v>980</v>
      </c>
      <c r="C89">
        <v>5</v>
      </c>
      <c r="D89" s="2">
        <v>1817</v>
      </c>
      <c r="E89">
        <v>509</v>
      </c>
      <c r="F89">
        <v>44</v>
      </c>
      <c r="H89" t="s">
        <v>1540</v>
      </c>
      <c r="I89" s="2">
        <v>0</v>
      </c>
      <c r="J89" s="2">
        <v>140</v>
      </c>
      <c r="K89" s="2" t="s">
        <v>866</v>
      </c>
      <c r="L89" s="43" t="s">
        <v>3975</v>
      </c>
      <c r="O89" s="41" t="s">
        <v>5282</v>
      </c>
      <c r="P89" s="41">
        <v>29</v>
      </c>
      <c r="Q89" s="41">
        <v>4</v>
      </c>
      <c r="R89" s="41" t="s">
        <v>1547</v>
      </c>
      <c r="S89" t="s">
        <v>1547</v>
      </c>
      <c r="X89">
        <v>1</v>
      </c>
      <c r="Y89" t="s">
        <v>2986</v>
      </c>
      <c r="AH89" t="s">
        <v>359</v>
      </c>
    </row>
    <row r="90" spans="1:34" ht="15.75">
      <c r="A90" s="29">
        <f t="shared" si="1"/>
        <v>46013</v>
      </c>
      <c r="B90" s="8">
        <v>757</v>
      </c>
      <c r="C90" s="2">
        <v>3</v>
      </c>
      <c r="D90" s="8">
        <v>1817</v>
      </c>
      <c r="E90">
        <v>9619</v>
      </c>
      <c r="F90" s="8">
        <v>44</v>
      </c>
      <c r="G90" s="7"/>
      <c r="H90" s="9" t="s">
        <v>1540</v>
      </c>
      <c r="I90" s="8">
        <v>3353</v>
      </c>
      <c r="J90" s="8">
        <f>300+1833</f>
        <v>2133</v>
      </c>
      <c r="K90" s="2" t="s">
        <v>866</v>
      </c>
      <c r="L90" s="43" t="s">
        <v>3975</v>
      </c>
      <c r="M90" s="41" t="s">
        <v>5316</v>
      </c>
      <c r="N90" s="41" t="s">
        <v>2006</v>
      </c>
      <c r="O90" s="41" t="s">
        <v>2007</v>
      </c>
      <c r="P90" s="41">
        <v>30</v>
      </c>
      <c r="Q90" s="41">
        <v>4</v>
      </c>
      <c r="R90" s="41">
        <v>53</v>
      </c>
      <c r="S90" t="s">
        <v>2008</v>
      </c>
      <c r="T90" t="s">
        <v>3154</v>
      </c>
      <c r="V90" t="s">
        <v>1637</v>
      </c>
      <c r="X90">
        <v>1</v>
      </c>
      <c r="Y90" t="s">
        <v>2009</v>
      </c>
      <c r="AH90" t="s">
        <v>359</v>
      </c>
    </row>
    <row r="91" spans="1:34" ht="15.75">
      <c r="A91" s="29">
        <f t="shared" si="1"/>
        <v>52000</v>
      </c>
      <c r="B91" s="2">
        <v>455</v>
      </c>
      <c r="C91" s="2">
        <v>8</v>
      </c>
      <c r="D91" s="2">
        <v>1817</v>
      </c>
      <c r="E91">
        <v>8648</v>
      </c>
      <c r="F91" s="2">
        <v>45</v>
      </c>
      <c r="H91" s="2" t="s">
        <v>1540</v>
      </c>
      <c r="I91" s="2">
        <v>0</v>
      </c>
      <c r="J91" s="2">
        <v>2600</v>
      </c>
      <c r="K91" s="2" t="s">
        <v>866</v>
      </c>
      <c r="L91" s="43" t="s">
        <v>849</v>
      </c>
      <c r="M91" s="41" t="s">
        <v>4783</v>
      </c>
      <c r="N91" s="41" t="s">
        <v>4579</v>
      </c>
      <c r="O91" s="41" t="s">
        <v>5522</v>
      </c>
      <c r="P91" s="41">
        <v>15</v>
      </c>
      <c r="Q91" s="41">
        <v>4</v>
      </c>
      <c r="R91" s="41">
        <v>67</v>
      </c>
      <c r="S91" s="2" t="s">
        <v>5523</v>
      </c>
      <c r="T91" s="2" t="s">
        <v>5524</v>
      </c>
      <c r="V91" s="2" t="s">
        <v>5525</v>
      </c>
      <c r="W91" s="2"/>
      <c r="X91" s="2">
        <v>1</v>
      </c>
      <c r="Y91" t="s">
        <v>5526</v>
      </c>
      <c r="AA91" s="3"/>
      <c r="AB91" s="2"/>
      <c r="AD91" s="2"/>
      <c r="AH91" t="s">
        <v>359</v>
      </c>
    </row>
    <row r="92" spans="1:34" ht="15.75">
      <c r="A92" s="29">
        <f t="shared" si="1"/>
        <v>37528</v>
      </c>
      <c r="B92" s="8">
        <v>758</v>
      </c>
      <c r="C92" s="2">
        <v>3</v>
      </c>
      <c r="D92" s="8">
        <v>1817</v>
      </c>
      <c r="E92">
        <v>9621</v>
      </c>
      <c r="F92" s="8">
        <v>45</v>
      </c>
      <c r="G92" s="7"/>
      <c r="H92" s="9" t="s">
        <v>1540</v>
      </c>
      <c r="I92" s="8">
        <v>37528</v>
      </c>
      <c r="J92" s="8">
        <v>0</v>
      </c>
      <c r="K92" s="2" t="s">
        <v>866</v>
      </c>
      <c r="L92" s="43" t="s">
        <v>849</v>
      </c>
      <c r="M92" s="41" t="s">
        <v>2010</v>
      </c>
      <c r="N92" s="41" t="s">
        <v>4980</v>
      </c>
      <c r="O92" s="41" t="s">
        <v>2011</v>
      </c>
      <c r="P92" s="41">
        <v>15</v>
      </c>
      <c r="Q92" s="41">
        <v>4</v>
      </c>
      <c r="R92" s="41">
        <v>67</v>
      </c>
      <c r="S92" t="s">
        <v>2012</v>
      </c>
      <c r="T92" t="s">
        <v>2013</v>
      </c>
      <c r="V92" t="s">
        <v>5525</v>
      </c>
      <c r="AH92" t="s">
        <v>359</v>
      </c>
    </row>
    <row r="93" spans="1:34" ht="15.75">
      <c r="A93" s="29">
        <f t="shared" si="1"/>
        <v>9000</v>
      </c>
      <c r="B93" s="8">
        <v>670</v>
      </c>
      <c r="C93" s="2">
        <v>9</v>
      </c>
      <c r="D93" s="2">
        <v>1817</v>
      </c>
      <c r="E93">
        <v>7271</v>
      </c>
      <c r="F93" s="8">
        <v>46</v>
      </c>
      <c r="G93" s="7"/>
      <c r="H93" s="7" t="s">
        <v>1541</v>
      </c>
      <c r="I93" s="8">
        <v>0</v>
      </c>
      <c r="J93" s="8">
        <v>1800</v>
      </c>
      <c r="K93" s="8" t="s">
        <v>870</v>
      </c>
      <c r="L93" s="43" t="s">
        <v>5101</v>
      </c>
      <c r="M93" s="41" t="s">
        <v>5107</v>
      </c>
      <c r="O93" s="41" t="s">
        <v>5108</v>
      </c>
      <c r="P93" s="41">
        <v>13</v>
      </c>
      <c r="Q93" s="41">
        <v>4</v>
      </c>
      <c r="R93" s="41" t="s">
        <v>1547</v>
      </c>
      <c r="S93" t="s">
        <v>5106</v>
      </c>
      <c r="T93" t="s">
        <v>5109</v>
      </c>
      <c r="V93" t="s">
        <v>780</v>
      </c>
      <c r="X93">
        <v>0.25</v>
      </c>
      <c r="Y93" t="s">
        <v>5110</v>
      </c>
      <c r="AH93" t="s">
        <v>359</v>
      </c>
    </row>
    <row r="94" spans="1:34" ht="15.75">
      <c r="A94" s="29">
        <f t="shared" si="1"/>
        <v>24000</v>
      </c>
      <c r="B94" s="31">
        <v>581</v>
      </c>
      <c r="C94" s="31">
        <v>1</v>
      </c>
      <c r="D94" s="31">
        <v>1817</v>
      </c>
      <c r="E94">
        <v>12462</v>
      </c>
      <c r="F94" s="31">
        <v>46</v>
      </c>
      <c r="G94" s="9"/>
      <c r="H94" s="31" t="s">
        <v>850</v>
      </c>
      <c r="I94" s="31">
        <v>4000</v>
      </c>
      <c r="J94" s="31">
        <v>1000</v>
      </c>
      <c r="K94" s="30" t="s">
        <v>870</v>
      </c>
      <c r="L94" s="43" t="s">
        <v>5101</v>
      </c>
      <c r="M94" s="43" t="s">
        <v>273</v>
      </c>
      <c r="N94" s="43"/>
      <c r="O94" s="43" t="s">
        <v>274</v>
      </c>
      <c r="P94" s="43">
        <v>13</v>
      </c>
      <c r="Q94" s="43">
        <v>4</v>
      </c>
      <c r="R94" s="43" t="s">
        <v>1547</v>
      </c>
      <c r="S94" s="9" t="s">
        <v>275</v>
      </c>
      <c r="T94" s="9" t="s">
        <v>1184</v>
      </c>
      <c r="U94" s="9"/>
      <c r="V94" s="9" t="s">
        <v>2730</v>
      </c>
      <c r="W94" s="9"/>
      <c r="X94">
        <v>1</v>
      </c>
      <c r="Y94" t="s">
        <v>2824</v>
      </c>
      <c r="AH94" t="s">
        <v>359</v>
      </c>
    </row>
    <row r="95" spans="1:34" ht="15.75">
      <c r="A95" s="29">
        <f t="shared" si="1"/>
        <v>15680</v>
      </c>
      <c r="B95" s="10">
        <v>1008</v>
      </c>
      <c r="C95">
        <v>5</v>
      </c>
      <c r="D95" s="8">
        <v>1817</v>
      </c>
      <c r="E95">
        <v>697</v>
      </c>
      <c r="F95" s="9">
        <v>47</v>
      </c>
      <c r="G95" s="9"/>
      <c r="H95" s="9" t="s">
        <v>4655</v>
      </c>
      <c r="I95" s="8">
        <v>0</v>
      </c>
      <c r="J95" s="8">
        <v>784</v>
      </c>
      <c r="K95" s="2" t="s">
        <v>873</v>
      </c>
      <c r="L95" s="43" t="s">
        <v>2337</v>
      </c>
      <c r="M95" s="41" t="s">
        <v>2772</v>
      </c>
      <c r="O95" s="41" t="s">
        <v>2338</v>
      </c>
      <c r="P95" s="41">
        <v>5</v>
      </c>
      <c r="Q95" s="41">
        <v>4</v>
      </c>
      <c r="S95" t="s">
        <v>4740</v>
      </c>
      <c r="T95" t="s">
        <v>4741</v>
      </c>
      <c r="V95" t="s">
        <v>4742</v>
      </c>
      <c r="X95">
        <v>1</v>
      </c>
      <c r="Y95" t="s">
        <v>4743</v>
      </c>
      <c r="AH95" t="s">
        <v>359</v>
      </c>
    </row>
    <row r="96" spans="1:34" ht="15.75">
      <c r="A96" s="29">
        <f t="shared" si="1"/>
        <v>28206</v>
      </c>
      <c r="B96" s="8">
        <v>677</v>
      </c>
      <c r="C96" s="2">
        <v>9</v>
      </c>
      <c r="D96" s="2">
        <v>1817</v>
      </c>
      <c r="E96">
        <v>7533</v>
      </c>
      <c r="F96" s="8">
        <v>47</v>
      </c>
      <c r="G96" s="7"/>
      <c r="H96" s="7" t="s">
        <v>1541</v>
      </c>
      <c r="I96" s="8">
        <v>6966</v>
      </c>
      <c r="J96" s="8">
        <v>1062</v>
      </c>
      <c r="K96" s="2" t="s">
        <v>873</v>
      </c>
      <c r="L96" s="43" t="s">
        <v>2337</v>
      </c>
      <c r="M96" s="41" t="s">
        <v>1296</v>
      </c>
      <c r="N96" s="41" t="s">
        <v>1555</v>
      </c>
      <c r="O96" s="41" t="s">
        <v>5219</v>
      </c>
      <c r="P96" s="41">
        <v>5</v>
      </c>
      <c r="Q96" s="41">
        <v>4</v>
      </c>
      <c r="R96" s="41">
        <v>76</v>
      </c>
      <c r="S96" t="s">
        <v>5218</v>
      </c>
      <c r="T96" t="s">
        <v>5220</v>
      </c>
      <c r="V96" t="s">
        <v>5221</v>
      </c>
      <c r="X96">
        <v>1</v>
      </c>
      <c r="Y96" t="s">
        <v>5222</v>
      </c>
      <c r="AH96" t="s">
        <v>359</v>
      </c>
    </row>
    <row r="97" spans="1:34" ht="15.75">
      <c r="A97" s="29">
        <f t="shared" si="1"/>
        <v>123688.66666666666</v>
      </c>
      <c r="B97" s="2">
        <v>469</v>
      </c>
      <c r="C97" s="2">
        <v>8</v>
      </c>
      <c r="D97" s="2">
        <v>1817</v>
      </c>
      <c r="E97">
        <v>9157</v>
      </c>
      <c r="F97" s="2">
        <v>48</v>
      </c>
      <c r="H97" t="s">
        <v>1540</v>
      </c>
      <c r="I97" s="2">
        <v>46962</v>
      </c>
      <c r="J97" s="2">
        <f>4135+3030+1173+100+8180+4000+2400</f>
        <v>23018</v>
      </c>
      <c r="K97" s="2" t="s">
        <v>873</v>
      </c>
      <c r="L97" s="43" t="s">
        <v>2606</v>
      </c>
      <c r="M97" s="41" t="s">
        <v>2607</v>
      </c>
      <c r="N97" s="41" t="s">
        <v>2608</v>
      </c>
      <c r="O97" s="41" t="s">
        <v>2609</v>
      </c>
      <c r="P97" s="41">
        <v>11</v>
      </c>
      <c r="Q97" s="41">
        <v>4</v>
      </c>
      <c r="R97" s="41">
        <v>31</v>
      </c>
      <c r="S97" t="s">
        <v>2610</v>
      </c>
      <c r="T97" t="s">
        <v>4339</v>
      </c>
      <c r="V97" s="4" t="s">
        <v>5056</v>
      </c>
      <c r="W97" s="4"/>
      <c r="X97">
        <f>1/6</f>
        <v>0.16666666666666666</v>
      </c>
      <c r="Y97" t="s">
        <v>2611</v>
      </c>
      <c r="AA97" t="s">
        <v>4105</v>
      </c>
      <c r="AH97" t="s">
        <v>359</v>
      </c>
    </row>
    <row r="98" spans="1:34" ht="15.75">
      <c r="A98" s="29">
        <f t="shared" si="1"/>
        <v>12443.333333333332</v>
      </c>
      <c r="B98" s="2">
        <v>774</v>
      </c>
      <c r="C98" s="2">
        <v>3</v>
      </c>
      <c r="D98" s="2">
        <v>1817</v>
      </c>
      <c r="E98">
        <v>9767</v>
      </c>
      <c r="F98" s="8">
        <v>48</v>
      </c>
      <c r="G98" s="1"/>
      <c r="H98" t="s">
        <v>1540</v>
      </c>
      <c r="I98" s="2">
        <v>0</v>
      </c>
      <c r="J98" s="2">
        <v>7466</v>
      </c>
      <c r="K98" s="8" t="s">
        <v>873</v>
      </c>
      <c r="L98" s="43" t="s">
        <v>2209</v>
      </c>
      <c r="M98" s="41" t="s">
        <v>2607</v>
      </c>
      <c r="O98" s="41" t="s">
        <v>2210</v>
      </c>
      <c r="P98" s="41">
        <v>11</v>
      </c>
      <c r="Q98" s="41">
        <v>4</v>
      </c>
      <c r="R98" s="41" t="s">
        <v>1547</v>
      </c>
      <c r="S98" t="s">
        <v>2211</v>
      </c>
      <c r="T98" t="s">
        <v>1215</v>
      </c>
      <c r="V98" t="s">
        <v>2212</v>
      </c>
      <c r="X98">
        <f>1/12</f>
        <v>0.08333333333333333</v>
      </c>
      <c r="Y98" t="s">
        <v>2213</v>
      </c>
      <c r="AH98" t="s">
        <v>359</v>
      </c>
    </row>
    <row r="99" spans="1:34" ht="15.75">
      <c r="A99" s="29">
        <f t="shared" si="1"/>
        <v>2500</v>
      </c>
      <c r="B99" s="30">
        <v>587</v>
      </c>
      <c r="C99" s="30">
        <v>1</v>
      </c>
      <c r="D99" s="30">
        <v>1817</v>
      </c>
      <c r="E99">
        <v>12684</v>
      </c>
      <c r="F99" s="30">
        <v>48</v>
      </c>
      <c r="G99" s="29"/>
      <c r="H99" t="s">
        <v>1540</v>
      </c>
      <c r="I99" s="30">
        <v>0</v>
      </c>
      <c r="J99" s="30">
        <v>125</v>
      </c>
      <c r="K99" s="30" t="s">
        <v>873</v>
      </c>
      <c r="L99" s="43" t="s">
        <v>5771</v>
      </c>
      <c r="P99" s="41">
        <v>11</v>
      </c>
      <c r="Q99" s="41">
        <v>4</v>
      </c>
      <c r="R99" s="41" t="s">
        <v>1547</v>
      </c>
      <c r="S99" t="s">
        <v>3321</v>
      </c>
      <c r="X99">
        <v>1</v>
      </c>
      <c r="Y99" t="s">
        <v>332</v>
      </c>
      <c r="AH99" t="s">
        <v>359</v>
      </c>
    </row>
    <row r="100" spans="1:34" ht="15.75">
      <c r="A100" s="29">
        <f t="shared" si="1"/>
        <v>9240</v>
      </c>
      <c r="B100" s="8">
        <v>678</v>
      </c>
      <c r="C100" s="2">
        <v>9</v>
      </c>
      <c r="D100" s="2">
        <v>1817</v>
      </c>
      <c r="E100">
        <v>7563</v>
      </c>
      <c r="F100" s="8">
        <v>49</v>
      </c>
      <c r="G100" s="7"/>
      <c r="H100" s="7" t="s">
        <v>1541</v>
      </c>
      <c r="I100" s="8">
        <v>0</v>
      </c>
      <c r="J100" s="8">
        <f>212+250</f>
        <v>462</v>
      </c>
      <c r="K100" s="8" t="s">
        <v>874</v>
      </c>
      <c r="L100" s="43" t="s">
        <v>4240</v>
      </c>
      <c r="O100" s="41" t="s">
        <v>926</v>
      </c>
      <c r="P100" s="41">
        <v>21</v>
      </c>
      <c r="Q100" s="41">
        <v>4</v>
      </c>
      <c r="R100" s="41" t="s">
        <v>1547</v>
      </c>
      <c r="S100" t="s">
        <v>3343</v>
      </c>
      <c r="X100">
        <v>1</v>
      </c>
      <c r="Y100" t="s">
        <v>927</v>
      </c>
      <c r="AH100" t="s">
        <v>359</v>
      </c>
    </row>
    <row r="101" spans="1:34" ht="15.75">
      <c r="A101" s="29">
        <f t="shared" si="1"/>
        <v>251</v>
      </c>
      <c r="B101" s="30">
        <v>588</v>
      </c>
      <c r="C101" s="30">
        <v>1</v>
      </c>
      <c r="D101" s="30">
        <v>1817</v>
      </c>
      <c r="E101">
        <v>12712</v>
      </c>
      <c r="F101" s="30">
        <v>49</v>
      </c>
      <c r="G101" s="29"/>
      <c r="H101" t="s">
        <v>1540</v>
      </c>
      <c r="I101" s="30">
        <v>251</v>
      </c>
      <c r="J101" s="30">
        <v>0</v>
      </c>
      <c r="K101" s="30" t="s">
        <v>874</v>
      </c>
      <c r="L101" s="43" t="s">
        <v>4240</v>
      </c>
      <c r="P101" s="41">
        <v>21</v>
      </c>
      <c r="Q101" s="41">
        <v>4</v>
      </c>
      <c r="R101" s="41">
        <v>45</v>
      </c>
      <c r="S101" t="s">
        <v>884</v>
      </c>
      <c r="AH101" t="s">
        <v>359</v>
      </c>
    </row>
    <row r="102" spans="1:34" ht="15.75">
      <c r="A102" s="29">
        <f t="shared" si="1"/>
        <v>53000</v>
      </c>
      <c r="B102" s="2">
        <v>432</v>
      </c>
      <c r="C102" s="2">
        <v>8</v>
      </c>
      <c r="D102" s="2">
        <v>1817</v>
      </c>
      <c r="E102">
        <v>7795</v>
      </c>
      <c r="F102" s="2">
        <v>50</v>
      </c>
      <c r="H102" t="s">
        <v>1540</v>
      </c>
      <c r="I102" s="2">
        <v>0</v>
      </c>
      <c r="J102" s="2">
        <f>2400+250</f>
        <v>2650</v>
      </c>
      <c r="K102" s="2" t="s">
        <v>863</v>
      </c>
      <c r="L102" s="43" t="s">
        <v>4396</v>
      </c>
      <c r="M102" s="41" t="s">
        <v>3704</v>
      </c>
      <c r="N102" s="41" t="s">
        <v>3136</v>
      </c>
      <c r="O102" s="41" t="s">
        <v>4397</v>
      </c>
      <c r="P102" s="41">
        <v>1</v>
      </c>
      <c r="Q102" s="41">
        <v>5</v>
      </c>
      <c r="R102" s="41" t="s">
        <v>1547</v>
      </c>
      <c r="S102" t="s">
        <v>4398</v>
      </c>
      <c r="T102" t="s">
        <v>4645</v>
      </c>
      <c r="V102" t="s">
        <v>2720</v>
      </c>
      <c r="X102">
        <v>1</v>
      </c>
      <c r="Y102" t="s">
        <v>4399</v>
      </c>
      <c r="AH102" t="s">
        <v>359</v>
      </c>
    </row>
    <row r="103" spans="1:34" ht="15.75">
      <c r="A103" s="29">
        <f t="shared" si="1"/>
        <v>170898</v>
      </c>
      <c r="B103" s="30">
        <v>553</v>
      </c>
      <c r="C103" s="30">
        <v>1</v>
      </c>
      <c r="D103" s="30">
        <v>1817</v>
      </c>
      <c r="E103">
        <v>11461</v>
      </c>
      <c r="F103" s="30">
        <v>50</v>
      </c>
      <c r="H103" t="s">
        <v>1540</v>
      </c>
      <c r="I103" s="30">
        <f>74008+4000+3390</f>
        <v>81398</v>
      </c>
      <c r="J103" s="30">
        <v>4475</v>
      </c>
      <c r="K103" s="30" t="s">
        <v>863</v>
      </c>
      <c r="L103" s="43" t="s">
        <v>4396</v>
      </c>
      <c r="M103" s="41" t="s">
        <v>3704</v>
      </c>
      <c r="N103" s="41" t="s">
        <v>1060</v>
      </c>
      <c r="O103" s="41" t="s">
        <v>1061</v>
      </c>
      <c r="P103" s="41">
        <v>1</v>
      </c>
      <c r="Q103" s="41">
        <v>5</v>
      </c>
      <c r="R103" s="41">
        <v>75</v>
      </c>
      <c r="S103" t="s">
        <v>1062</v>
      </c>
      <c r="T103" t="s">
        <v>1063</v>
      </c>
      <c r="V103" t="s">
        <v>1064</v>
      </c>
      <c r="X103">
        <v>1</v>
      </c>
      <c r="Y103" t="s">
        <v>1061</v>
      </c>
      <c r="AH103" t="s">
        <v>359</v>
      </c>
    </row>
    <row r="104" spans="1:34" ht="15.75">
      <c r="A104" s="29">
        <f t="shared" si="1"/>
        <v>385000</v>
      </c>
      <c r="B104" s="2">
        <v>436</v>
      </c>
      <c r="C104" s="2">
        <v>8</v>
      </c>
      <c r="D104" s="2">
        <v>1817</v>
      </c>
      <c r="E104">
        <v>7956</v>
      </c>
      <c r="F104" s="2">
        <v>51</v>
      </c>
      <c r="H104" t="s">
        <v>1541</v>
      </c>
      <c r="I104" s="2">
        <v>131000</v>
      </c>
      <c r="J104" s="2">
        <f>4200+6000+2500</f>
        <v>12700</v>
      </c>
      <c r="K104" s="2" t="s">
        <v>884</v>
      </c>
      <c r="L104" s="43" t="s">
        <v>4129</v>
      </c>
      <c r="M104" s="41" t="s">
        <v>4130</v>
      </c>
      <c r="O104" s="41" t="s">
        <v>4131</v>
      </c>
      <c r="P104" s="41">
        <v>16</v>
      </c>
      <c r="Q104" s="41">
        <v>5</v>
      </c>
      <c r="R104" s="41">
        <v>54</v>
      </c>
      <c r="S104" t="s">
        <v>4132</v>
      </c>
      <c r="T104" t="s">
        <v>4133</v>
      </c>
      <c r="V104" t="s">
        <v>3922</v>
      </c>
      <c r="X104">
        <v>1</v>
      </c>
      <c r="Y104" t="s">
        <v>4134</v>
      </c>
      <c r="AH104" t="s">
        <v>359</v>
      </c>
    </row>
    <row r="105" spans="1:34" ht="15.75">
      <c r="A105" s="29">
        <f t="shared" si="1"/>
        <v>20000</v>
      </c>
      <c r="B105" s="31">
        <v>556</v>
      </c>
      <c r="C105" s="31">
        <v>1</v>
      </c>
      <c r="D105" s="31">
        <v>1817</v>
      </c>
      <c r="E105">
        <v>11602</v>
      </c>
      <c r="F105" s="31">
        <v>51</v>
      </c>
      <c r="G105" s="9"/>
      <c r="H105" s="9" t="s">
        <v>1541</v>
      </c>
      <c r="I105" s="31">
        <v>0</v>
      </c>
      <c r="J105" s="31">
        <v>2000</v>
      </c>
      <c r="K105" s="30" t="s">
        <v>884</v>
      </c>
      <c r="L105" s="43" t="s">
        <v>4129</v>
      </c>
      <c r="M105" s="43" t="s">
        <v>4130</v>
      </c>
      <c r="N105" s="43"/>
      <c r="O105" s="41" t="s">
        <v>4131</v>
      </c>
      <c r="P105" s="41">
        <v>16</v>
      </c>
      <c r="Q105" s="41">
        <v>5</v>
      </c>
      <c r="R105" s="41" t="s">
        <v>1547</v>
      </c>
      <c r="S105" t="s">
        <v>4132</v>
      </c>
      <c r="T105" t="s">
        <v>1113</v>
      </c>
      <c r="V105" t="s">
        <v>3922</v>
      </c>
      <c r="X105">
        <v>0.5</v>
      </c>
      <c r="Y105" t="s">
        <v>1114</v>
      </c>
      <c r="AH105" t="s">
        <v>359</v>
      </c>
    </row>
    <row r="106" spans="1:34" ht="15.75">
      <c r="A106" s="29">
        <f t="shared" si="1"/>
        <v>21568</v>
      </c>
      <c r="B106" s="8">
        <v>444</v>
      </c>
      <c r="C106" s="2">
        <v>8</v>
      </c>
      <c r="D106" s="2">
        <v>1817</v>
      </c>
      <c r="E106">
        <v>8275</v>
      </c>
      <c r="F106" s="8">
        <v>52</v>
      </c>
      <c r="G106" s="9"/>
      <c r="H106" s="9" t="s">
        <v>1541</v>
      </c>
      <c r="I106" s="8">
        <f>6065+15503</f>
        <v>21568</v>
      </c>
      <c r="J106" s="8">
        <v>0</v>
      </c>
      <c r="K106" s="2" t="s">
        <v>850</v>
      </c>
      <c r="L106" s="43" t="s">
        <v>4626</v>
      </c>
      <c r="M106" s="41" t="s">
        <v>4627</v>
      </c>
      <c r="O106" s="41" t="s">
        <v>4628</v>
      </c>
      <c r="P106" s="41">
        <v>30</v>
      </c>
      <c r="Q106" s="41">
        <v>5</v>
      </c>
      <c r="R106" s="41">
        <v>56</v>
      </c>
      <c r="S106" s="11" t="s">
        <v>4629</v>
      </c>
      <c r="T106" s="11" t="s">
        <v>4630</v>
      </c>
      <c r="V106" s="11" t="s">
        <v>852</v>
      </c>
      <c r="W106" s="11"/>
      <c r="AH106" t="s">
        <v>359</v>
      </c>
    </row>
    <row r="107" spans="1:34" ht="15.75">
      <c r="A107" s="29">
        <f t="shared" si="1"/>
        <v>88000</v>
      </c>
      <c r="B107" s="30">
        <v>563</v>
      </c>
      <c r="C107" s="30">
        <v>1</v>
      </c>
      <c r="D107" s="30">
        <v>1817</v>
      </c>
      <c r="E107">
        <v>11870</v>
      </c>
      <c r="F107" s="30">
        <v>52</v>
      </c>
      <c r="H107" t="s">
        <v>850</v>
      </c>
      <c r="I107" s="30">
        <v>0</v>
      </c>
      <c r="J107" s="29">
        <v>4400</v>
      </c>
      <c r="K107" s="30" t="s">
        <v>850</v>
      </c>
      <c r="L107" s="43" t="s">
        <v>2701</v>
      </c>
      <c r="M107" s="41" t="s">
        <v>4627</v>
      </c>
      <c r="O107" s="41" t="s">
        <v>82</v>
      </c>
      <c r="P107" s="41">
        <v>30</v>
      </c>
      <c r="Q107" s="41">
        <v>5</v>
      </c>
      <c r="S107" s="11" t="s">
        <v>4629</v>
      </c>
      <c r="T107" t="s">
        <v>1263</v>
      </c>
      <c r="V107" t="s">
        <v>852</v>
      </c>
      <c r="X107">
        <v>1</v>
      </c>
      <c r="AH107" t="s">
        <v>359</v>
      </c>
    </row>
    <row r="108" spans="1:34" ht="15.75">
      <c r="A108" s="29">
        <f t="shared" si="1"/>
        <v>11782</v>
      </c>
      <c r="B108" s="8">
        <v>649</v>
      </c>
      <c r="C108" s="8">
        <v>9</v>
      </c>
      <c r="D108" s="2">
        <v>1817</v>
      </c>
      <c r="E108">
        <v>6504</v>
      </c>
      <c r="F108" s="8">
        <v>53</v>
      </c>
      <c r="G108" s="7"/>
      <c r="H108" s="9" t="s">
        <v>1540</v>
      </c>
      <c r="I108" s="8">
        <v>3782</v>
      </c>
      <c r="J108" s="8">
        <v>400</v>
      </c>
      <c r="K108" s="2" t="s">
        <v>865</v>
      </c>
      <c r="L108" s="43" t="s">
        <v>658</v>
      </c>
      <c r="M108" s="41" t="s">
        <v>660</v>
      </c>
      <c r="N108" s="41" t="s">
        <v>661</v>
      </c>
      <c r="O108" s="41" t="s">
        <v>662</v>
      </c>
      <c r="P108" s="41">
        <v>29</v>
      </c>
      <c r="Q108" s="41">
        <v>5</v>
      </c>
      <c r="R108" s="41">
        <v>49</v>
      </c>
      <c r="S108" t="s">
        <v>659</v>
      </c>
      <c r="T108" t="s">
        <v>663</v>
      </c>
      <c r="V108" t="s">
        <v>550</v>
      </c>
      <c r="X108">
        <v>1</v>
      </c>
      <c r="Y108" t="s">
        <v>664</v>
      </c>
      <c r="AH108" t="s">
        <v>359</v>
      </c>
    </row>
    <row r="109" spans="1:34" ht="15.75">
      <c r="A109" s="29">
        <f t="shared" si="1"/>
        <v>20000</v>
      </c>
      <c r="B109" s="8">
        <v>746</v>
      </c>
      <c r="C109" s="2">
        <v>3</v>
      </c>
      <c r="D109" s="8">
        <v>1817</v>
      </c>
      <c r="E109">
        <v>9502</v>
      </c>
      <c r="F109" s="8">
        <v>53</v>
      </c>
      <c r="G109" s="7"/>
      <c r="H109" s="9" t="s">
        <v>1541</v>
      </c>
      <c r="I109" s="8">
        <v>0</v>
      </c>
      <c r="J109" s="8">
        <v>1000</v>
      </c>
      <c r="K109" s="2" t="s">
        <v>865</v>
      </c>
      <c r="L109" s="43" t="s">
        <v>658</v>
      </c>
      <c r="M109" s="43" t="s">
        <v>5819</v>
      </c>
      <c r="N109" s="43" t="s">
        <v>1894</v>
      </c>
      <c r="O109" s="41" t="s">
        <v>1895</v>
      </c>
      <c r="P109" s="41">
        <v>19</v>
      </c>
      <c r="Q109" s="41">
        <v>5</v>
      </c>
      <c r="R109" s="41" t="s">
        <v>868</v>
      </c>
      <c r="S109" t="s">
        <v>1896</v>
      </c>
      <c r="T109" t="s">
        <v>663</v>
      </c>
      <c r="V109" t="s">
        <v>550</v>
      </c>
      <c r="X109">
        <v>1</v>
      </c>
      <c r="Y109" t="s">
        <v>1897</v>
      </c>
      <c r="AH109" t="s">
        <v>359</v>
      </c>
    </row>
    <row r="110" spans="1:34" ht="15.75">
      <c r="A110" s="29">
        <f t="shared" si="1"/>
        <v>80000</v>
      </c>
      <c r="B110" s="6">
        <v>966</v>
      </c>
      <c r="C110">
        <v>5</v>
      </c>
      <c r="D110" s="2">
        <v>1817</v>
      </c>
      <c r="E110">
        <v>375</v>
      </c>
      <c r="F110" s="2">
        <v>54</v>
      </c>
      <c r="H110" t="s">
        <v>1540</v>
      </c>
      <c r="I110" s="2">
        <v>0</v>
      </c>
      <c r="J110" s="2">
        <v>4000</v>
      </c>
      <c r="K110" s="2" t="s">
        <v>865</v>
      </c>
      <c r="L110" s="43" t="s">
        <v>3149</v>
      </c>
      <c r="M110" s="41" t="s">
        <v>3150</v>
      </c>
      <c r="N110" s="41" t="s">
        <v>4762</v>
      </c>
      <c r="O110" s="41" t="s">
        <v>1254</v>
      </c>
      <c r="P110" s="41">
        <v>9</v>
      </c>
      <c r="Q110" s="41">
        <v>5</v>
      </c>
      <c r="R110" s="41" t="s">
        <v>1547</v>
      </c>
      <c r="S110" t="s">
        <v>4763</v>
      </c>
      <c r="T110" t="s">
        <v>1274</v>
      </c>
      <c r="V110" t="s">
        <v>3151</v>
      </c>
      <c r="X110">
        <v>1</v>
      </c>
      <c r="Y110" t="s">
        <v>4764</v>
      </c>
      <c r="AH110" t="s">
        <v>359</v>
      </c>
    </row>
    <row r="111" spans="1:34" ht="15.75">
      <c r="A111" s="29">
        <f t="shared" si="1"/>
        <v>260072</v>
      </c>
      <c r="B111" s="2">
        <v>447</v>
      </c>
      <c r="C111" s="2">
        <v>8</v>
      </c>
      <c r="D111" s="2">
        <v>1817</v>
      </c>
      <c r="E111">
        <v>8391</v>
      </c>
      <c r="F111" s="2">
        <v>54</v>
      </c>
      <c r="H111" t="s">
        <v>1540</v>
      </c>
      <c r="I111" s="2">
        <f>2398+288+115628+2740+24298</f>
        <v>145352</v>
      </c>
      <c r="J111" s="2">
        <f>2000+711+3025</f>
        <v>5736</v>
      </c>
      <c r="K111" s="8" t="s">
        <v>865</v>
      </c>
      <c r="L111" s="43" t="s">
        <v>3149</v>
      </c>
      <c r="M111" s="41" t="s">
        <v>3150</v>
      </c>
      <c r="N111" s="41" t="s">
        <v>5427</v>
      </c>
      <c r="O111" s="41" t="s">
        <v>5428</v>
      </c>
      <c r="P111" s="41">
        <v>9</v>
      </c>
      <c r="Q111" s="41">
        <v>5</v>
      </c>
      <c r="R111" s="41">
        <v>83</v>
      </c>
      <c r="S111" t="s">
        <v>3343</v>
      </c>
      <c r="T111" t="s">
        <v>5429</v>
      </c>
      <c r="V111" t="s">
        <v>3151</v>
      </c>
      <c r="X111">
        <v>1</v>
      </c>
      <c r="Y111" t="s">
        <v>5430</v>
      </c>
      <c r="AH111" t="s">
        <v>359</v>
      </c>
    </row>
    <row r="112" spans="1:34" ht="15.75">
      <c r="A112" s="29">
        <f t="shared" si="1"/>
        <v>28000</v>
      </c>
      <c r="B112" s="8">
        <v>748</v>
      </c>
      <c r="C112" s="2">
        <v>3</v>
      </c>
      <c r="D112" s="8">
        <v>1817</v>
      </c>
      <c r="E112">
        <v>9526</v>
      </c>
      <c r="F112" s="2">
        <v>54</v>
      </c>
      <c r="G112" s="7"/>
      <c r="H112" s="9" t="s">
        <v>1540</v>
      </c>
      <c r="I112" s="8">
        <v>0</v>
      </c>
      <c r="J112" s="8">
        <v>1400</v>
      </c>
      <c r="K112" s="2" t="s">
        <v>865</v>
      </c>
      <c r="L112" s="43" t="s">
        <v>3149</v>
      </c>
      <c r="M112" s="43" t="s">
        <v>3150</v>
      </c>
      <c r="N112" s="43" t="s">
        <v>1555</v>
      </c>
      <c r="O112" s="43" t="s">
        <v>1254</v>
      </c>
      <c r="P112" s="43">
        <v>9</v>
      </c>
      <c r="Q112" s="43">
        <v>5</v>
      </c>
      <c r="R112" s="43"/>
      <c r="S112" t="s">
        <v>3343</v>
      </c>
      <c r="T112" s="9" t="s">
        <v>590</v>
      </c>
      <c r="U112" s="9"/>
      <c r="V112" s="9" t="s">
        <v>3151</v>
      </c>
      <c r="W112" s="9"/>
      <c r="X112" s="9">
        <v>1</v>
      </c>
      <c r="Y112" s="9" t="s">
        <v>1912</v>
      </c>
      <c r="AH112" t="s">
        <v>359</v>
      </c>
    </row>
    <row r="113" spans="1:34" ht="15.75">
      <c r="A113" s="29">
        <f t="shared" si="1"/>
        <v>192200</v>
      </c>
      <c r="B113" s="30">
        <v>566</v>
      </c>
      <c r="C113" s="30">
        <v>1</v>
      </c>
      <c r="D113" s="30">
        <v>1817</v>
      </c>
      <c r="E113">
        <v>11977</v>
      </c>
      <c r="F113" s="2">
        <v>54</v>
      </c>
      <c r="H113" t="s">
        <v>1540</v>
      </c>
      <c r="I113" s="30">
        <v>0</v>
      </c>
      <c r="J113" s="30">
        <f>4500+2110+3000</f>
        <v>9610</v>
      </c>
      <c r="K113" s="30" t="s">
        <v>865</v>
      </c>
      <c r="L113" s="43" t="s">
        <v>3149</v>
      </c>
      <c r="M113" s="41" t="s">
        <v>3150</v>
      </c>
      <c r="N113" s="41" t="s">
        <v>118</v>
      </c>
      <c r="O113" s="41" t="s">
        <v>1254</v>
      </c>
      <c r="P113" s="41">
        <v>9</v>
      </c>
      <c r="Q113" s="41">
        <v>5</v>
      </c>
      <c r="S113" t="s">
        <v>1547</v>
      </c>
      <c r="T113" t="s">
        <v>119</v>
      </c>
      <c r="V113" t="s">
        <v>3151</v>
      </c>
      <c r="X113">
        <v>1</v>
      </c>
      <c r="Y113" t="s">
        <v>120</v>
      </c>
      <c r="AH113" t="s">
        <v>359</v>
      </c>
    </row>
    <row r="114" spans="1:34" ht="15.75">
      <c r="A114" s="29">
        <f t="shared" si="1"/>
        <v>10560</v>
      </c>
      <c r="B114" s="2">
        <v>451</v>
      </c>
      <c r="C114" s="2">
        <v>8</v>
      </c>
      <c r="D114" s="2">
        <v>1817</v>
      </c>
      <c r="E114">
        <v>8509</v>
      </c>
      <c r="F114" s="2">
        <v>55</v>
      </c>
      <c r="H114" s="2" t="s">
        <v>1540</v>
      </c>
      <c r="I114" s="2">
        <v>0</v>
      </c>
      <c r="J114" s="2">
        <v>1600</v>
      </c>
      <c r="K114" s="2" t="s">
        <v>1277</v>
      </c>
      <c r="L114" s="43" t="s">
        <v>5473</v>
      </c>
      <c r="M114" s="41" t="s">
        <v>5474</v>
      </c>
      <c r="N114" s="41" t="s">
        <v>1545</v>
      </c>
      <c r="O114" s="41" t="s">
        <v>5475</v>
      </c>
      <c r="P114" s="41">
        <v>25</v>
      </c>
      <c r="Q114" s="41">
        <v>5</v>
      </c>
      <c r="S114" s="23" t="s">
        <v>5476</v>
      </c>
      <c r="T114" s="2" t="s">
        <v>5477</v>
      </c>
      <c r="V114" t="s">
        <v>1547</v>
      </c>
      <c r="W114" s="2"/>
      <c r="X114" s="2">
        <v>0.33</v>
      </c>
      <c r="Y114" t="s">
        <v>5478</v>
      </c>
      <c r="AA114" s="2"/>
      <c r="AB114" s="2"/>
      <c r="AD114" s="2"/>
      <c r="AH114" t="s">
        <v>359</v>
      </c>
    </row>
    <row r="115" spans="1:34" ht="15.75">
      <c r="A115" s="29">
        <f t="shared" si="1"/>
        <v>30000</v>
      </c>
      <c r="B115" s="30">
        <v>570</v>
      </c>
      <c r="C115" s="30">
        <v>1</v>
      </c>
      <c r="D115" s="30">
        <v>1817</v>
      </c>
      <c r="E115">
        <v>12099</v>
      </c>
      <c r="F115" s="30">
        <v>55</v>
      </c>
      <c r="H115" t="s">
        <v>1540</v>
      </c>
      <c r="I115" s="30">
        <v>0</v>
      </c>
      <c r="J115" s="30">
        <v>3000</v>
      </c>
      <c r="K115" s="30" t="s">
        <v>1277</v>
      </c>
      <c r="L115" s="43" t="s">
        <v>145</v>
      </c>
      <c r="M115" s="41" t="s">
        <v>146</v>
      </c>
      <c r="N115" s="41" t="s">
        <v>1555</v>
      </c>
      <c r="O115" s="41" t="s">
        <v>4933</v>
      </c>
      <c r="P115" s="41">
        <v>25</v>
      </c>
      <c r="Q115" s="41">
        <v>5</v>
      </c>
      <c r="S115" t="s">
        <v>147</v>
      </c>
      <c r="T115" t="s">
        <v>148</v>
      </c>
      <c r="V115" t="s">
        <v>4344</v>
      </c>
      <c r="X115">
        <v>0.5</v>
      </c>
      <c r="Y115" t="s">
        <v>149</v>
      </c>
      <c r="AH115" t="s">
        <v>359</v>
      </c>
    </row>
    <row r="116" spans="1:34" ht="15.75">
      <c r="A116" s="29">
        <f t="shared" si="1"/>
        <v>84000</v>
      </c>
      <c r="B116" s="6">
        <v>974</v>
      </c>
      <c r="C116">
        <v>5</v>
      </c>
      <c r="D116" s="2">
        <v>1817</v>
      </c>
      <c r="E116">
        <v>453</v>
      </c>
      <c r="F116">
        <v>56</v>
      </c>
      <c r="H116" t="s">
        <v>1541</v>
      </c>
      <c r="I116" s="2">
        <v>0</v>
      </c>
      <c r="J116" s="2">
        <v>4200</v>
      </c>
      <c r="K116" s="2" t="s">
        <v>866</v>
      </c>
      <c r="L116" s="43" t="s">
        <v>846</v>
      </c>
      <c r="M116" s="41" t="s">
        <v>5933</v>
      </c>
      <c r="N116" s="41" t="s">
        <v>5934</v>
      </c>
      <c r="O116" s="41" t="s">
        <v>5935</v>
      </c>
      <c r="P116" s="41">
        <v>5</v>
      </c>
      <c r="Q116" s="41">
        <v>5</v>
      </c>
      <c r="R116" s="41" t="s">
        <v>1547</v>
      </c>
      <c r="S116" t="s">
        <v>5936</v>
      </c>
      <c r="T116" t="s">
        <v>4780</v>
      </c>
      <c r="V116" t="s">
        <v>3139</v>
      </c>
      <c r="X116">
        <v>1</v>
      </c>
      <c r="Y116" t="s">
        <v>5931</v>
      </c>
      <c r="AH116" t="s">
        <v>359</v>
      </c>
    </row>
    <row r="117" spans="1:34" ht="15.75">
      <c r="A117" s="29">
        <f t="shared" si="1"/>
        <v>126000</v>
      </c>
      <c r="B117" s="18">
        <v>862</v>
      </c>
      <c r="C117" s="15">
        <v>6</v>
      </c>
      <c r="D117" s="2">
        <v>1817</v>
      </c>
      <c r="E117">
        <v>4473</v>
      </c>
      <c r="F117" s="18">
        <v>56</v>
      </c>
      <c r="G117" s="18"/>
      <c r="H117" s="18" t="s">
        <v>1540</v>
      </c>
      <c r="I117" s="18">
        <v>0</v>
      </c>
      <c r="J117" s="18">
        <f>300+6000</f>
        <v>6300</v>
      </c>
      <c r="K117" s="15" t="s">
        <v>866</v>
      </c>
      <c r="L117" s="43" t="s">
        <v>846</v>
      </c>
      <c r="M117" s="41" t="s">
        <v>4918</v>
      </c>
      <c r="N117" s="41" t="s">
        <v>4919</v>
      </c>
      <c r="O117" s="41" t="s">
        <v>5935</v>
      </c>
      <c r="P117" s="41">
        <v>5</v>
      </c>
      <c r="Q117" s="41">
        <v>5</v>
      </c>
      <c r="S117" s="15"/>
      <c r="T117" s="15" t="s">
        <v>4645</v>
      </c>
      <c r="U117" s="15"/>
      <c r="V117" s="15" t="s">
        <v>3139</v>
      </c>
      <c r="W117" s="15"/>
      <c r="X117" s="15">
        <v>1</v>
      </c>
      <c r="Y117" s="15" t="s">
        <v>4920</v>
      </c>
      <c r="Z117" s="15"/>
      <c r="AA117" s="15"/>
      <c r="AB117" s="15"/>
      <c r="AC117" s="15"/>
      <c r="AD117" s="15"/>
      <c r="AE117" s="15"/>
      <c r="AF117" s="15"/>
      <c r="AG117" s="15"/>
      <c r="AH117" t="s">
        <v>359</v>
      </c>
    </row>
    <row r="118" spans="1:34" ht="15.75">
      <c r="A118" s="29">
        <f t="shared" si="1"/>
        <v>0</v>
      </c>
      <c r="B118" s="2">
        <v>452</v>
      </c>
      <c r="C118" s="2">
        <v>8</v>
      </c>
      <c r="D118" s="2">
        <v>1817</v>
      </c>
      <c r="E118">
        <v>8528</v>
      </c>
      <c r="F118" s="2">
        <v>56</v>
      </c>
      <c r="H118" s="2" t="s">
        <v>1549</v>
      </c>
      <c r="I118" s="2">
        <v>0</v>
      </c>
      <c r="J118" s="26">
        <v>0</v>
      </c>
      <c r="K118" s="2" t="s">
        <v>866</v>
      </c>
      <c r="L118" s="43" t="s">
        <v>846</v>
      </c>
      <c r="M118" s="41" t="s">
        <v>5496</v>
      </c>
      <c r="N118" s="41" t="s">
        <v>5497</v>
      </c>
      <c r="O118" s="41" t="s">
        <v>5935</v>
      </c>
      <c r="P118" s="41">
        <v>5</v>
      </c>
      <c r="Q118" s="41">
        <v>5</v>
      </c>
      <c r="R118" s="41">
        <v>52</v>
      </c>
      <c r="S118" s="23" t="s">
        <v>5498</v>
      </c>
      <c r="T118" s="2" t="s">
        <v>5499</v>
      </c>
      <c r="V118" s="2" t="s">
        <v>3139</v>
      </c>
      <c r="W118" s="2"/>
      <c r="X118" s="2"/>
      <c r="AA118" s="2"/>
      <c r="AB118" s="2"/>
      <c r="AD118" s="2"/>
      <c r="AH118" t="s">
        <v>359</v>
      </c>
    </row>
    <row r="119" spans="1:34" ht="15.75">
      <c r="A119" s="29">
        <f t="shared" si="1"/>
        <v>21622</v>
      </c>
      <c r="B119" s="10">
        <v>978</v>
      </c>
      <c r="C119">
        <v>5</v>
      </c>
      <c r="D119" s="8">
        <v>1817</v>
      </c>
      <c r="E119">
        <v>494</v>
      </c>
      <c r="F119" s="9">
        <v>57</v>
      </c>
      <c r="G119" s="9"/>
      <c r="H119" s="9" t="s">
        <v>1541</v>
      </c>
      <c r="I119" s="8">
        <v>21622</v>
      </c>
      <c r="J119" s="8">
        <v>0</v>
      </c>
      <c r="K119" s="2" t="s">
        <v>866</v>
      </c>
      <c r="L119" s="43" t="s">
        <v>1216</v>
      </c>
      <c r="M119" s="41" t="s">
        <v>3153</v>
      </c>
      <c r="N119" s="41" t="s">
        <v>3453</v>
      </c>
      <c r="O119" s="41" t="s">
        <v>3382</v>
      </c>
      <c r="P119" s="41">
        <v>12</v>
      </c>
      <c r="Q119" s="41">
        <v>5</v>
      </c>
      <c r="R119" s="41">
        <v>56</v>
      </c>
      <c r="S119" t="s">
        <v>3383</v>
      </c>
      <c r="T119" t="s">
        <v>3384</v>
      </c>
      <c r="V119" t="s">
        <v>1270</v>
      </c>
      <c r="AH119" t="s">
        <v>359</v>
      </c>
    </row>
    <row r="120" spans="1:34" ht="15.75">
      <c r="A120" s="29">
        <f t="shared" si="1"/>
        <v>49400</v>
      </c>
      <c r="B120" s="18">
        <v>865</v>
      </c>
      <c r="C120" s="15">
        <v>6</v>
      </c>
      <c r="D120" s="2">
        <v>1817</v>
      </c>
      <c r="E120">
        <v>4611</v>
      </c>
      <c r="F120" s="18">
        <v>57</v>
      </c>
      <c r="G120" s="18"/>
      <c r="H120" s="18" t="s">
        <v>1541</v>
      </c>
      <c r="I120" s="18">
        <v>0</v>
      </c>
      <c r="J120" s="18">
        <v>2470</v>
      </c>
      <c r="K120" s="15" t="s">
        <v>866</v>
      </c>
      <c r="L120" s="43" t="s">
        <v>1216</v>
      </c>
      <c r="M120" s="41" t="s">
        <v>1609</v>
      </c>
      <c r="O120" s="41" t="s">
        <v>3721</v>
      </c>
      <c r="P120" s="41">
        <v>12</v>
      </c>
      <c r="Q120" s="41">
        <v>5</v>
      </c>
      <c r="R120" s="41" t="s">
        <v>868</v>
      </c>
      <c r="S120" s="15" t="s">
        <v>3722</v>
      </c>
      <c r="T120" s="15" t="s">
        <v>1572</v>
      </c>
      <c r="U120" s="15"/>
      <c r="V120" s="15" t="s">
        <v>1572</v>
      </c>
      <c r="W120" s="15"/>
      <c r="X120" s="15">
        <v>1</v>
      </c>
      <c r="Y120" s="15" t="s">
        <v>3723</v>
      </c>
      <c r="Z120" s="15"/>
      <c r="AA120" s="15"/>
      <c r="AB120" s="15"/>
      <c r="AC120" s="15"/>
      <c r="AD120" s="15"/>
      <c r="AE120" s="15"/>
      <c r="AF120" s="15"/>
      <c r="AG120" s="15"/>
      <c r="AH120" t="s">
        <v>359</v>
      </c>
    </row>
    <row r="121" spans="1:34" ht="15.75">
      <c r="A121" s="29">
        <f t="shared" si="1"/>
        <v>897</v>
      </c>
      <c r="B121" s="6">
        <v>991</v>
      </c>
      <c r="C121">
        <v>5</v>
      </c>
      <c r="D121" s="2">
        <v>1817</v>
      </c>
      <c r="E121">
        <v>604</v>
      </c>
      <c r="F121">
        <v>58</v>
      </c>
      <c r="H121" t="s">
        <v>1549</v>
      </c>
      <c r="I121" s="2">
        <v>897</v>
      </c>
      <c r="J121" s="2">
        <v>0</v>
      </c>
      <c r="K121" s="2" t="s">
        <v>870</v>
      </c>
      <c r="L121" s="43" t="s">
        <v>2301</v>
      </c>
      <c r="P121" s="41">
        <v>3</v>
      </c>
      <c r="Q121" s="41">
        <v>5</v>
      </c>
      <c r="R121" s="41">
        <v>77</v>
      </c>
      <c r="S121" t="s">
        <v>3321</v>
      </c>
      <c r="AH121" t="s">
        <v>359</v>
      </c>
    </row>
    <row r="122" spans="1:34" ht="15.75">
      <c r="A122" s="29">
        <f t="shared" si="1"/>
        <v>9000</v>
      </c>
      <c r="B122" s="2">
        <v>765</v>
      </c>
      <c r="C122" s="8">
        <v>3</v>
      </c>
      <c r="D122" s="2">
        <v>1817</v>
      </c>
      <c r="E122">
        <v>9687</v>
      </c>
      <c r="F122" s="2">
        <v>58</v>
      </c>
      <c r="H122" t="s">
        <v>1540</v>
      </c>
      <c r="I122" s="1">
        <v>0</v>
      </c>
      <c r="J122" s="1">
        <v>450</v>
      </c>
      <c r="K122" s="2" t="s">
        <v>870</v>
      </c>
      <c r="L122" s="43" t="s">
        <v>2301</v>
      </c>
      <c r="P122" s="41">
        <v>3</v>
      </c>
      <c r="Q122" s="41">
        <v>5</v>
      </c>
      <c r="R122" s="41" t="s">
        <v>1547</v>
      </c>
      <c r="S122" t="s">
        <v>3321</v>
      </c>
      <c r="X122">
        <v>1</v>
      </c>
      <c r="Y122" t="s">
        <v>2118</v>
      </c>
      <c r="AH122" t="s">
        <v>359</v>
      </c>
    </row>
    <row r="123" spans="1:34" ht="15.75">
      <c r="A123" s="29">
        <f t="shared" si="1"/>
        <v>150000</v>
      </c>
      <c r="B123" s="2">
        <v>765</v>
      </c>
      <c r="C123" s="8">
        <v>3</v>
      </c>
      <c r="D123" s="2">
        <v>1817</v>
      </c>
      <c r="E123">
        <v>9693</v>
      </c>
      <c r="F123" s="2">
        <v>59</v>
      </c>
      <c r="H123" t="s">
        <v>1549</v>
      </c>
      <c r="I123" s="1">
        <v>0</v>
      </c>
      <c r="J123" s="1">
        <v>15000</v>
      </c>
      <c r="K123" s="2" t="s">
        <v>870</v>
      </c>
      <c r="L123" s="43" t="s">
        <v>2119</v>
      </c>
      <c r="M123" s="41" t="s">
        <v>2120</v>
      </c>
      <c r="N123" s="41" t="s">
        <v>1547</v>
      </c>
      <c r="O123" s="41" t="s">
        <v>2121</v>
      </c>
      <c r="P123" s="41">
        <v>2</v>
      </c>
      <c r="Q123" s="41">
        <v>5</v>
      </c>
      <c r="R123" s="41" t="s">
        <v>1547</v>
      </c>
      <c r="S123" t="s">
        <v>1547</v>
      </c>
      <c r="T123" t="s">
        <v>1484</v>
      </c>
      <c r="X123">
        <v>0.5</v>
      </c>
      <c r="Y123" t="s">
        <v>2122</v>
      </c>
      <c r="AH123" t="s">
        <v>359</v>
      </c>
    </row>
    <row r="124" spans="1:34" ht="15.75">
      <c r="A124" s="29">
        <f t="shared" si="1"/>
        <v>6909</v>
      </c>
      <c r="B124" s="30">
        <v>580</v>
      </c>
      <c r="C124" s="30">
        <v>1</v>
      </c>
      <c r="D124" s="30">
        <v>1817</v>
      </c>
      <c r="E124">
        <v>12433</v>
      </c>
      <c r="F124" s="30">
        <v>59</v>
      </c>
      <c r="H124" s="30" t="s">
        <v>1549</v>
      </c>
      <c r="I124" s="30">
        <f>4559+2350</f>
        <v>6909</v>
      </c>
      <c r="J124" s="30">
        <v>0</v>
      </c>
      <c r="K124" s="30" t="s">
        <v>870</v>
      </c>
      <c r="L124" s="43" t="s">
        <v>5684</v>
      </c>
      <c r="P124" s="41">
        <v>2</v>
      </c>
      <c r="Q124" s="41">
        <v>5</v>
      </c>
      <c r="R124" s="41">
        <v>76</v>
      </c>
      <c r="S124" t="s">
        <v>3321</v>
      </c>
      <c r="T124" s="30"/>
      <c r="V124" s="33"/>
      <c r="W124" s="33"/>
      <c r="AA124" s="33"/>
      <c r="AB124" s="33"/>
      <c r="AD124" s="30"/>
      <c r="AH124" t="s">
        <v>359</v>
      </c>
    </row>
    <row r="125" spans="1:34" ht="15.75">
      <c r="A125" s="29">
        <f t="shared" si="1"/>
        <v>340</v>
      </c>
      <c r="B125" s="6">
        <v>950</v>
      </c>
      <c r="C125">
        <v>5</v>
      </c>
      <c r="D125" s="2">
        <v>1817</v>
      </c>
      <c r="E125">
        <v>167</v>
      </c>
      <c r="F125">
        <v>60</v>
      </c>
      <c r="H125" t="s">
        <v>4655</v>
      </c>
      <c r="I125" s="2">
        <v>0</v>
      </c>
      <c r="J125" s="2">
        <v>17</v>
      </c>
      <c r="K125" s="2" t="s">
        <v>884</v>
      </c>
      <c r="L125" s="43" t="s">
        <v>410</v>
      </c>
      <c r="P125" s="41">
        <v>30</v>
      </c>
      <c r="Q125" s="41">
        <v>6</v>
      </c>
      <c r="R125" s="41" t="s">
        <v>1199</v>
      </c>
      <c r="X125">
        <v>1</v>
      </c>
      <c r="Y125" t="s">
        <v>3522</v>
      </c>
      <c r="AH125" t="s">
        <v>359</v>
      </c>
    </row>
    <row r="126" spans="1:34" ht="15.75">
      <c r="A126" s="29">
        <f t="shared" si="1"/>
        <v>28500</v>
      </c>
      <c r="B126" s="8">
        <v>737</v>
      </c>
      <c r="C126" s="2">
        <v>3</v>
      </c>
      <c r="D126" s="8">
        <v>1817</v>
      </c>
      <c r="E126">
        <v>9401</v>
      </c>
      <c r="F126" s="8">
        <v>60</v>
      </c>
      <c r="G126" s="7"/>
      <c r="H126" s="9" t="s">
        <v>1540</v>
      </c>
      <c r="I126" s="8">
        <v>0</v>
      </c>
      <c r="J126" s="8">
        <v>2850</v>
      </c>
      <c r="K126" s="2" t="s">
        <v>884</v>
      </c>
      <c r="L126" s="43" t="s">
        <v>410</v>
      </c>
      <c r="M126" s="41" t="s">
        <v>2896</v>
      </c>
      <c r="N126" s="41" t="s">
        <v>411</v>
      </c>
      <c r="O126" s="41" t="s">
        <v>412</v>
      </c>
      <c r="P126" s="41">
        <v>30</v>
      </c>
      <c r="Q126" s="41">
        <v>6</v>
      </c>
      <c r="R126" s="41" t="s">
        <v>1547</v>
      </c>
      <c r="S126" t="s">
        <v>413</v>
      </c>
      <c r="T126" t="s">
        <v>4784</v>
      </c>
      <c r="U126" t="s">
        <v>412</v>
      </c>
      <c r="X126">
        <v>0.5</v>
      </c>
      <c r="Y126" t="s">
        <v>414</v>
      </c>
      <c r="AH126" t="s">
        <v>359</v>
      </c>
    </row>
    <row r="127" spans="1:34" ht="15.75">
      <c r="A127" s="39">
        <f t="shared" si="1"/>
        <v>15000</v>
      </c>
      <c r="B127" s="8">
        <v>647</v>
      </c>
      <c r="C127" s="8">
        <v>9</v>
      </c>
      <c r="D127" s="2">
        <v>1817</v>
      </c>
      <c r="E127">
        <v>6413</v>
      </c>
      <c r="F127" s="8">
        <v>61</v>
      </c>
      <c r="G127" s="7"/>
      <c r="H127" s="9" t="s">
        <v>1540</v>
      </c>
      <c r="I127" s="8">
        <v>0</v>
      </c>
      <c r="J127" s="8">
        <v>750</v>
      </c>
      <c r="K127" s="8" t="s">
        <v>850</v>
      </c>
      <c r="L127" s="43" t="s">
        <v>5905</v>
      </c>
      <c r="O127" s="41" t="s">
        <v>605</v>
      </c>
      <c r="P127" s="41">
        <v>25</v>
      </c>
      <c r="Q127" s="41">
        <v>6</v>
      </c>
      <c r="R127" s="41" t="s">
        <v>1547</v>
      </c>
      <c r="S127" t="s">
        <v>3321</v>
      </c>
      <c r="X127">
        <v>1</v>
      </c>
      <c r="Y127" t="s">
        <v>606</v>
      </c>
      <c r="AH127" t="s">
        <v>359</v>
      </c>
    </row>
    <row r="128" spans="1:34" ht="15.75">
      <c r="A128" s="29">
        <f t="shared" si="1"/>
        <v>28995</v>
      </c>
      <c r="B128" s="8">
        <v>744</v>
      </c>
      <c r="C128" s="2">
        <v>3</v>
      </c>
      <c r="D128" s="8">
        <v>1817</v>
      </c>
      <c r="E128">
        <v>9484</v>
      </c>
      <c r="F128" s="8">
        <v>61</v>
      </c>
      <c r="G128" s="7"/>
      <c r="H128" s="9" t="s">
        <v>1540</v>
      </c>
      <c r="I128" s="8">
        <v>10995</v>
      </c>
      <c r="J128" s="8">
        <v>1800</v>
      </c>
      <c r="K128" s="8" t="s">
        <v>850</v>
      </c>
      <c r="L128" s="43" t="s">
        <v>5905</v>
      </c>
      <c r="M128" s="41" t="s">
        <v>1867</v>
      </c>
      <c r="N128" s="41" t="s">
        <v>1555</v>
      </c>
      <c r="O128" s="41" t="s">
        <v>1868</v>
      </c>
      <c r="P128" s="41">
        <v>26</v>
      </c>
      <c r="Q128" s="41">
        <v>6</v>
      </c>
      <c r="R128" s="41">
        <v>70</v>
      </c>
      <c r="S128" t="s">
        <v>1869</v>
      </c>
      <c r="T128" t="s">
        <v>4649</v>
      </c>
      <c r="V128" t="s">
        <v>1870</v>
      </c>
      <c r="X128">
        <v>0.5</v>
      </c>
      <c r="Y128" t="s">
        <v>1871</v>
      </c>
      <c r="AH128" t="s">
        <v>359</v>
      </c>
    </row>
    <row r="129" spans="1:34" ht="15.75">
      <c r="A129" s="29">
        <f t="shared" si="1"/>
        <v>9194</v>
      </c>
      <c r="B129" s="2">
        <v>653</v>
      </c>
      <c r="C129" s="2">
        <v>9</v>
      </c>
      <c r="D129" s="2">
        <v>1817</v>
      </c>
      <c r="E129">
        <v>6650</v>
      </c>
      <c r="F129" s="2">
        <v>62</v>
      </c>
      <c r="G129" s="1"/>
      <c r="H129" t="s">
        <v>1540</v>
      </c>
      <c r="I129" s="2">
        <v>9194</v>
      </c>
      <c r="J129" s="2">
        <v>0</v>
      </c>
      <c r="K129" s="2" t="s">
        <v>865</v>
      </c>
      <c r="L129" s="43" t="s">
        <v>1922</v>
      </c>
      <c r="P129" s="41">
        <v>25</v>
      </c>
      <c r="Q129" s="41">
        <v>6</v>
      </c>
      <c r="R129" s="41">
        <v>57</v>
      </c>
      <c r="S129" t="s">
        <v>3321</v>
      </c>
      <c r="AH129" t="s">
        <v>359</v>
      </c>
    </row>
    <row r="130" spans="1:34" ht="15.75">
      <c r="A130" s="29">
        <f aca="true" t="shared" si="2" ref="A130:A193">I130+J130*20*X130</f>
        <v>67980</v>
      </c>
      <c r="B130" s="8">
        <v>749</v>
      </c>
      <c r="C130" s="2">
        <v>3</v>
      </c>
      <c r="D130" s="8">
        <v>1817</v>
      </c>
      <c r="E130">
        <v>9536</v>
      </c>
      <c r="F130" s="8">
        <v>62</v>
      </c>
      <c r="G130" s="7"/>
      <c r="H130" s="9" t="s">
        <v>1540</v>
      </c>
      <c r="I130" s="8">
        <v>0</v>
      </c>
      <c r="J130" s="8">
        <v>3399</v>
      </c>
      <c r="K130" s="2" t="s">
        <v>865</v>
      </c>
      <c r="L130" s="43" t="s">
        <v>1922</v>
      </c>
      <c r="M130" s="41" t="s">
        <v>1923</v>
      </c>
      <c r="N130" s="41" t="s">
        <v>1924</v>
      </c>
      <c r="O130" s="41" t="s">
        <v>1925</v>
      </c>
      <c r="P130" s="41">
        <v>25</v>
      </c>
      <c r="Q130" s="41">
        <v>6</v>
      </c>
      <c r="R130" s="41" t="s">
        <v>868</v>
      </c>
      <c r="S130" t="s">
        <v>1926</v>
      </c>
      <c r="T130" t="s">
        <v>1927</v>
      </c>
      <c r="V130" t="s">
        <v>1928</v>
      </c>
      <c r="X130">
        <v>1</v>
      </c>
      <c r="Y130" t="s">
        <v>1929</v>
      </c>
      <c r="AH130" t="s">
        <v>359</v>
      </c>
    </row>
    <row r="131" spans="1:34" ht="15.75">
      <c r="A131" s="29">
        <f t="shared" si="2"/>
        <v>50000</v>
      </c>
      <c r="B131" s="2">
        <v>749</v>
      </c>
      <c r="C131" s="2">
        <v>3</v>
      </c>
      <c r="D131" s="2">
        <v>1817</v>
      </c>
      <c r="E131">
        <v>9532</v>
      </c>
      <c r="F131" s="2">
        <v>63</v>
      </c>
      <c r="G131" s="1"/>
      <c r="H131" t="s">
        <v>1541</v>
      </c>
      <c r="I131" s="2">
        <v>0</v>
      </c>
      <c r="J131" s="2">
        <v>2500</v>
      </c>
      <c r="K131" s="2" t="s">
        <v>865</v>
      </c>
      <c r="L131" s="43" t="s">
        <v>1930</v>
      </c>
      <c r="M131" s="41" t="s">
        <v>5685</v>
      </c>
      <c r="O131" s="41" t="s">
        <v>1931</v>
      </c>
      <c r="P131" s="41">
        <v>16</v>
      </c>
      <c r="Q131" s="41">
        <v>6</v>
      </c>
      <c r="R131" s="41" t="s">
        <v>868</v>
      </c>
      <c r="S131" t="s">
        <v>3329</v>
      </c>
      <c r="T131" t="s">
        <v>1484</v>
      </c>
      <c r="V131" t="s">
        <v>1932</v>
      </c>
      <c r="X131">
        <v>1</v>
      </c>
      <c r="Y131" t="s">
        <v>1933</v>
      </c>
      <c r="AH131" t="s">
        <v>359</v>
      </c>
    </row>
    <row r="132" spans="1:34" ht="15.75">
      <c r="A132" s="29">
        <f t="shared" si="2"/>
        <v>111785</v>
      </c>
      <c r="B132" s="30">
        <v>567</v>
      </c>
      <c r="C132" s="30">
        <v>1</v>
      </c>
      <c r="D132" s="30">
        <v>1817</v>
      </c>
      <c r="E132">
        <v>12004</v>
      </c>
      <c r="F132" s="30">
        <v>63</v>
      </c>
      <c r="H132" t="s">
        <v>1541</v>
      </c>
      <c r="I132" s="30">
        <v>3785</v>
      </c>
      <c r="J132" s="30">
        <v>5400</v>
      </c>
      <c r="K132" s="30" t="s">
        <v>865</v>
      </c>
      <c r="L132" s="43" t="s">
        <v>128</v>
      </c>
      <c r="M132" s="41" t="s">
        <v>129</v>
      </c>
      <c r="N132" s="41" t="s">
        <v>1555</v>
      </c>
      <c r="O132" s="41" t="s">
        <v>130</v>
      </c>
      <c r="P132" s="41">
        <v>16</v>
      </c>
      <c r="Q132" s="41">
        <v>6</v>
      </c>
      <c r="R132" s="41">
        <v>83</v>
      </c>
      <c r="S132" t="s">
        <v>131</v>
      </c>
      <c r="T132" t="s">
        <v>1255</v>
      </c>
      <c r="V132" t="s">
        <v>4344</v>
      </c>
      <c r="X132">
        <v>1</v>
      </c>
      <c r="Y132" t="s">
        <v>132</v>
      </c>
      <c r="AH132" t="s">
        <v>359</v>
      </c>
    </row>
    <row r="133" spans="1:34" ht="15.75">
      <c r="A133" s="29">
        <f t="shared" si="2"/>
        <v>32000</v>
      </c>
      <c r="B133" s="2">
        <v>667</v>
      </c>
      <c r="C133" s="2">
        <v>9</v>
      </c>
      <c r="D133" s="2">
        <v>1817</v>
      </c>
      <c r="E133">
        <v>7193</v>
      </c>
      <c r="F133" s="2">
        <v>64</v>
      </c>
      <c r="G133" s="1"/>
      <c r="H133" s="1" t="s">
        <v>1540</v>
      </c>
      <c r="I133" s="2">
        <v>0</v>
      </c>
      <c r="J133" s="2">
        <v>1600</v>
      </c>
      <c r="K133" s="2" t="s">
        <v>868</v>
      </c>
      <c r="L133" s="43" t="s">
        <v>828</v>
      </c>
      <c r="M133" s="41" t="s">
        <v>1181</v>
      </c>
      <c r="N133" s="41" t="s">
        <v>1545</v>
      </c>
      <c r="O133" s="41" t="s">
        <v>830</v>
      </c>
      <c r="P133" s="41">
        <v>7</v>
      </c>
      <c r="Q133" s="41">
        <v>6</v>
      </c>
      <c r="R133" s="41" t="s">
        <v>1547</v>
      </c>
      <c r="S133" t="s">
        <v>829</v>
      </c>
      <c r="T133" t="s">
        <v>831</v>
      </c>
      <c r="V133" t="s">
        <v>832</v>
      </c>
      <c r="X133">
        <v>1</v>
      </c>
      <c r="Y133" t="s">
        <v>833</v>
      </c>
      <c r="AH133" t="s">
        <v>359</v>
      </c>
    </row>
    <row r="134" spans="1:34" ht="15.75">
      <c r="A134" s="29">
        <f t="shared" si="2"/>
        <v>69054</v>
      </c>
      <c r="B134" s="8">
        <v>763</v>
      </c>
      <c r="C134" s="2">
        <v>3</v>
      </c>
      <c r="D134" s="8">
        <v>1817</v>
      </c>
      <c r="E134">
        <v>9679</v>
      </c>
      <c r="F134" s="8">
        <v>64</v>
      </c>
      <c r="G134" s="7"/>
      <c r="H134" s="9" t="s">
        <v>1540</v>
      </c>
      <c r="I134" s="8">
        <v>9054</v>
      </c>
      <c r="J134" s="9">
        <f>1400+1600</f>
        <v>3000</v>
      </c>
      <c r="K134" s="2" t="s">
        <v>868</v>
      </c>
      <c r="L134" s="43" t="s">
        <v>828</v>
      </c>
      <c r="M134" s="41" t="s">
        <v>1181</v>
      </c>
      <c r="N134" s="41" t="s">
        <v>1555</v>
      </c>
      <c r="O134" s="41" t="s">
        <v>2099</v>
      </c>
      <c r="P134" s="41">
        <v>7</v>
      </c>
      <c r="Q134" s="41">
        <v>6</v>
      </c>
      <c r="R134" s="41">
        <v>68</v>
      </c>
      <c r="S134" t="s">
        <v>2100</v>
      </c>
      <c r="T134" t="s">
        <v>2101</v>
      </c>
      <c r="V134" t="s">
        <v>4985</v>
      </c>
      <c r="X134">
        <v>1</v>
      </c>
      <c r="Y134" t="s">
        <v>2102</v>
      </c>
      <c r="AH134" t="s">
        <v>359</v>
      </c>
    </row>
    <row r="135" spans="1:34" ht="15.75">
      <c r="A135" s="29">
        <f t="shared" si="2"/>
        <v>29000</v>
      </c>
      <c r="B135" s="8">
        <v>670</v>
      </c>
      <c r="C135" s="2">
        <v>9</v>
      </c>
      <c r="D135" s="2">
        <v>1817</v>
      </c>
      <c r="E135">
        <v>7281</v>
      </c>
      <c r="F135" s="8">
        <v>65</v>
      </c>
      <c r="G135" s="7"/>
      <c r="H135" s="7" t="s">
        <v>1540</v>
      </c>
      <c r="I135" s="8">
        <v>0</v>
      </c>
      <c r="J135" s="8">
        <v>2900</v>
      </c>
      <c r="K135" s="8" t="s">
        <v>870</v>
      </c>
      <c r="L135" s="43" t="s">
        <v>5124</v>
      </c>
      <c r="M135" s="43" t="s">
        <v>5126</v>
      </c>
      <c r="N135" s="43"/>
      <c r="O135" s="41" t="s">
        <v>5127</v>
      </c>
      <c r="P135" s="41">
        <v>15</v>
      </c>
      <c r="Q135" s="41">
        <v>6</v>
      </c>
      <c r="R135" s="41" t="s">
        <v>1547</v>
      </c>
      <c r="S135" t="s">
        <v>5125</v>
      </c>
      <c r="T135" t="s">
        <v>5128</v>
      </c>
      <c r="V135" t="s">
        <v>5129</v>
      </c>
      <c r="X135">
        <v>0.5</v>
      </c>
      <c r="Y135" t="s">
        <v>5130</v>
      </c>
      <c r="AH135" t="s">
        <v>359</v>
      </c>
    </row>
    <row r="136" spans="1:34" ht="15.75">
      <c r="A136" s="29">
        <f t="shared" si="2"/>
        <v>177005</v>
      </c>
      <c r="B136" s="8">
        <v>766</v>
      </c>
      <c r="C136" s="8">
        <v>3</v>
      </c>
      <c r="D136" s="8">
        <v>1817</v>
      </c>
      <c r="E136">
        <v>9706</v>
      </c>
      <c r="F136" s="8">
        <v>65</v>
      </c>
      <c r="G136" s="7"/>
      <c r="H136" s="9" t="s">
        <v>1540</v>
      </c>
      <c r="I136" s="8">
        <v>38325</v>
      </c>
      <c r="J136" s="8">
        <f>1034+2300+3600</f>
        <v>6934</v>
      </c>
      <c r="K136" s="2" t="s">
        <v>870</v>
      </c>
      <c r="L136" s="43" t="s">
        <v>5124</v>
      </c>
      <c r="M136" s="41" t="s">
        <v>2131</v>
      </c>
      <c r="N136" s="41" t="s">
        <v>1555</v>
      </c>
      <c r="O136" s="41" t="s">
        <v>2132</v>
      </c>
      <c r="P136" s="41">
        <v>17</v>
      </c>
      <c r="Q136" s="41">
        <v>6</v>
      </c>
      <c r="R136" s="41">
        <v>46</v>
      </c>
      <c r="S136" t="s">
        <v>2133</v>
      </c>
      <c r="T136" t="s">
        <v>4205</v>
      </c>
      <c r="V136" t="s">
        <v>3151</v>
      </c>
      <c r="X136">
        <v>1</v>
      </c>
      <c r="Y136" t="s">
        <v>2134</v>
      </c>
      <c r="AH136" t="s">
        <v>359</v>
      </c>
    </row>
    <row r="137" spans="1:34" ht="15.75">
      <c r="A137" s="29">
        <f t="shared" si="2"/>
        <v>4000</v>
      </c>
      <c r="B137" s="8">
        <v>678</v>
      </c>
      <c r="C137" s="2">
        <v>9</v>
      </c>
      <c r="D137" s="8">
        <v>1817</v>
      </c>
      <c r="E137">
        <v>7566</v>
      </c>
      <c r="F137" s="8">
        <v>66</v>
      </c>
      <c r="G137" s="7"/>
      <c r="H137" s="7" t="s">
        <v>1541</v>
      </c>
      <c r="I137" s="8">
        <v>0</v>
      </c>
      <c r="J137" s="8">
        <v>200</v>
      </c>
      <c r="K137" s="8" t="s">
        <v>874</v>
      </c>
      <c r="L137" s="43" t="s">
        <v>928</v>
      </c>
      <c r="M137" s="41" t="s">
        <v>857</v>
      </c>
      <c r="N137" s="41" t="s">
        <v>1555</v>
      </c>
      <c r="O137" s="41" t="s">
        <v>930</v>
      </c>
      <c r="P137" s="41">
        <v>11</v>
      </c>
      <c r="Q137" s="41">
        <v>6</v>
      </c>
      <c r="R137" s="41" t="s">
        <v>1547</v>
      </c>
      <c r="S137" t="s">
        <v>929</v>
      </c>
      <c r="T137" t="s">
        <v>931</v>
      </c>
      <c r="V137" t="s">
        <v>3010</v>
      </c>
      <c r="X137">
        <v>1</v>
      </c>
      <c r="Y137" t="s">
        <v>932</v>
      </c>
      <c r="AH137" t="s">
        <v>359</v>
      </c>
    </row>
    <row r="138" spans="1:34" ht="15.75">
      <c r="A138" s="29">
        <f t="shared" si="2"/>
        <v>24523</v>
      </c>
      <c r="B138" s="8">
        <v>775</v>
      </c>
      <c r="C138" s="8">
        <v>3</v>
      </c>
      <c r="D138" s="8">
        <v>1817</v>
      </c>
      <c r="E138">
        <v>9777</v>
      </c>
      <c r="F138" s="8">
        <v>66</v>
      </c>
      <c r="G138" s="7"/>
      <c r="H138" s="9" t="s">
        <v>1541</v>
      </c>
      <c r="I138" s="8">
        <v>8523</v>
      </c>
      <c r="J138" s="8">
        <v>800</v>
      </c>
      <c r="K138" s="8" t="s">
        <v>874</v>
      </c>
      <c r="L138" s="43" t="s">
        <v>928</v>
      </c>
      <c r="M138" s="43" t="s">
        <v>857</v>
      </c>
      <c r="N138" s="43" t="s">
        <v>2219</v>
      </c>
      <c r="O138" s="41" t="s">
        <v>930</v>
      </c>
      <c r="P138" s="43">
        <v>12</v>
      </c>
      <c r="Q138" s="43">
        <v>6</v>
      </c>
      <c r="R138" s="43">
        <v>49</v>
      </c>
      <c r="S138" t="s">
        <v>2220</v>
      </c>
      <c r="T138" t="s">
        <v>3439</v>
      </c>
      <c r="V138" t="s">
        <v>2221</v>
      </c>
      <c r="X138">
        <v>1</v>
      </c>
      <c r="Y138" t="s">
        <v>2222</v>
      </c>
      <c r="AH138" t="s">
        <v>359</v>
      </c>
    </row>
    <row r="139" spans="1:34" ht="15.75">
      <c r="A139" s="29">
        <f t="shared" si="2"/>
        <v>88773</v>
      </c>
      <c r="B139" s="6">
        <v>953</v>
      </c>
      <c r="C139">
        <v>5</v>
      </c>
      <c r="D139" s="2">
        <v>1817</v>
      </c>
      <c r="E139">
        <v>257</v>
      </c>
      <c r="F139">
        <v>67</v>
      </c>
      <c r="H139" t="s">
        <v>1540</v>
      </c>
      <c r="I139" s="2">
        <v>8773</v>
      </c>
      <c r="J139" s="2">
        <v>4000</v>
      </c>
      <c r="K139" s="2" t="s">
        <v>864</v>
      </c>
      <c r="L139" s="43" t="s">
        <v>3443</v>
      </c>
      <c r="M139" s="41" t="s">
        <v>3444</v>
      </c>
      <c r="N139" s="41" t="s">
        <v>3551</v>
      </c>
      <c r="O139" s="41" t="s">
        <v>3552</v>
      </c>
      <c r="P139" s="41">
        <v>10</v>
      </c>
      <c r="Q139" s="41">
        <v>7</v>
      </c>
      <c r="R139" s="41" t="s">
        <v>1199</v>
      </c>
      <c r="U139" t="s">
        <v>3143</v>
      </c>
      <c r="V139" t="s">
        <v>3553</v>
      </c>
      <c r="X139">
        <v>1</v>
      </c>
      <c r="Y139" t="s">
        <v>3550</v>
      </c>
      <c r="AH139" t="s">
        <v>359</v>
      </c>
    </row>
    <row r="140" spans="1:34" ht="15.75">
      <c r="A140" s="29">
        <f t="shared" si="2"/>
        <v>80000</v>
      </c>
      <c r="B140" s="2">
        <v>439</v>
      </c>
      <c r="C140" s="2">
        <v>8</v>
      </c>
      <c r="D140" s="2">
        <v>1817</v>
      </c>
      <c r="E140">
        <v>8079</v>
      </c>
      <c r="F140" s="2">
        <v>67</v>
      </c>
      <c r="H140" t="s">
        <v>1540</v>
      </c>
      <c r="I140" s="2">
        <v>0</v>
      </c>
      <c r="J140" s="2">
        <v>4000</v>
      </c>
      <c r="K140" s="2" t="s">
        <v>864</v>
      </c>
      <c r="L140" s="43" t="s">
        <v>3443</v>
      </c>
      <c r="M140" s="41" t="s">
        <v>3444</v>
      </c>
      <c r="N140" s="41" t="s">
        <v>4465</v>
      </c>
      <c r="O140" s="41" t="s">
        <v>4466</v>
      </c>
      <c r="P140" s="41">
        <v>10</v>
      </c>
      <c r="Q140" s="41">
        <v>7</v>
      </c>
      <c r="S140" t="s">
        <v>4467</v>
      </c>
      <c r="T140" t="s">
        <v>4469</v>
      </c>
      <c r="U140" t="s">
        <v>4468</v>
      </c>
      <c r="V140" t="s">
        <v>3445</v>
      </c>
      <c r="X140">
        <v>1</v>
      </c>
      <c r="Y140" t="s">
        <v>4470</v>
      </c>
      <c r="AH140" t="s">
        <v>359</v>
      </c>
    </row>
    <row r="141" spans="1:34" ht="15.75">
      <c r="A141" s="29">
        <f t="shared" si="2"/>
        <v>60000</v>
      </c>
      <c r="B141" s="2">
        <v>642</v>
      </c>
      <c r="C141" s="2">
        <v>9</v>
      </c>
      <c r="D141" s="2">
        <v>1817</v>
      </c>
      <c r="E141">
        <v>6221</v>
      </c>
      <c r="F141" s="2">
        <v>68</v>
      </c>
      <c r="G141" s="1"/>
      <c r="H141" s="1" t="s">
        <v>1549</v>
      </c>
      <c r="I141" s="2">
        <v>0</v>
      </c>
      <c r="J141" s="2">
        <v>3000</v>
      </c>
      <c r="K141" s="8" t="s">
        <v>864</v>
      </c>
      <c r="L141" s="43" t="s">
        <v>1780</v>
      </c>
      <c r="M141" s="43" t="s">
        <v>1782</v>
      </c>
      <c r="N141" s="43" t="s">
        <v>4665</v>
      </c>
      <c r="O141" s="43" t="s">
        <v>1783</v>
      </c>
      <c r="P141" s="41">
        <v>25</v>
      </c>
      <c r="Q141" s="41">
        <v>7</v>
      </c>
      <c r="R141" s="41" t="s">
        <v>1547</v>
      </c>
      <c r="S141" t="s">
        <v>1781</v>
      </c>
      <c r="T141" s="8" t="s">
        <v>4203</v>
      </c>
      <c r="V141" s="8" t="s">
        <v>1784</v>
      </c>
      <c r="X141">
        <v>1</v>
      </c>
      <c r="Y141" t="s">
        <v>1785</v>
      </c>
      <c r="AH141" t="s">
        <v>359</v>
      </c>
    </row>
    <row r="142" spans="1:34" ht="15.75">
      <c r="A142" s="29">
        <f t="shared" si="2"/>
        <v>32189</v>
      </c>
      <c r="B142" s="30">
        <v>559</v>
      </c>
      <c r="C142" s="30">
        <v>1</v>
      </c>
      <c r="D142" s="30">
        <v>1817</v>
      </c>
      <c r="E142">
        <v>11735</v>
      </c>
      <c r="F142" s="30">
        <v>68</v>
      </c>
      <c r="H142" t="s">
        <v>1540</v>
      </c>
      <c r="I142" s="30">
        <f>30589+1600</f>
        <v>32189</v>
      </c>
      <c r="J142" s="30">
        <v>0</v>
      </c>
      <c r="K142" s="30" t="s">
        <v>864</v>
      </c>
      <c r="L142" s="43" t="s">
        <v>1780</v>
      </c>
      <c r="M142" s="41" t="s">
        <v>13</v>
      </c>
      <c r="N142" s="41" t="s">
        <v>3130</v>
      </c>
      <c r="O142" s="41" t="s">
        <v>14</v>
      </c>
      <c r="P142" s="41">
        <v>26</v>
      </c>
      <c r="Q142" s="41">
        <v>7</v>
      </c>
      <c r="R142" s="41">
        <v>42</v>
      </c>
      <c r="S142" t="s">
        <v>15</v>
      </c>
      <c r="T142" t="s">
        <v>3156</v>
      </c>
      <c r="V142" t="s">
        <v>3373</v>
      </c>
      <c r="AH142" t="s">
        <v>359</v>
      </c>
    </row>
    <row r="143" spans="1:34" ht="15.75">
      <c r="A143" s="29">
        <f t="shared" si="2"/>
        <v>30000</v>
      </c>
      <c r="B143" s="8">
        <v>653</v>
      </c>
      <c r="C143" s="8">
        <v>9</v>
      </c>
      <c r="D143" s="2">
        <v>1817</v>
      </c>
      <c r="E143">
        <v>6655</v>
      </c>
      <c r="F143" s="8">
        <v>69</v>
      </c>
      <c r="G143" s="7"/>
      <c r="H143" s="9" t="s">
        <v>1540</v>
      </c>
      <c r="I143" s="8">
        <v>0</v>
      </c>
      <c r="J143" s="8">
        <v>1500</v>
      </c>
      <c r="K143" s="8" t="s">
        <v>1549</v>
      </c>
      <c r="L143" s="43" t="s">
        <v>4978</v>
      </c>
      <c r="M143" s="41" t="s">
        <v>1181</v>
      </c>
      <c r="N143" s="41" t="s">
        <v>4980</v>
      </c>
      <c r="O143" s="41" t="s">
        <v>4981</v>
      </c>
      <c r="P143" s="41">
        <v>31</v>
      </c>
      <c r="Q143" s="41">
        <v>7</v>
      </c>
      <c r="R143" s="41" t="s">
        <v>1547</v>
      </c>
      <c r="S143" t="s">
        <v>4979</v>
      </c>
      <c r="T143" t="s">
        <v>4795</v>
      </c>
      <c r="V143" t="s">
        <v>5687</v>
      </c>
      <c r="X143">
        <v>1</v>
      </c>
      <c r="Y143" t="s">
        <v>4982</v>
      </c>
      <c r="AH143" t="s">
        <v>359</v>
      </c>
    </row>
    <row r="144" spans="1:34" ht="15.75">
      <c r="A144" s="29">
        <f t="shared" si="2"/>
        <v>369100</v>
      </c>
      <c r="B144" s="2">
        <v>448</v>
      </c>
      <c r="C144" s="2">
        <v>8</v>
      </c>
      <c r="D144" s="2">
        <v>1817</v>
      </c>
      <c r="E144">
        <v>8449</v>
      </c>
      <c r="F144" s="2">
        <v>69</v>
      </c>
      <c r="H144" t="s">
        <v>1549</v>
      </c>
      <c r="I144" s="2">
        <v>325100</v>
      </c>
      <c r="J144" s="2">
        <v>2200</v>
      </c>
      <c r="K144" s="2" t="s">
        <v>1549</v>
      </c>
      <c r="L144" s="43" t="s">
        <v>4978</v>
      </c>
      <c r="M144" s="41" t="s">
        <v>1181</v>
      </c>
      <c r="N144" s="41" t="s">
        <v>5447</v>
      </c>
      <c r="O144" s="41" t="s">
        <v>5448</v>
      </c>
      <c r="P144" s="41">
        <v>31</v>
      </c>
      <c r="Q144" s="41">
        <v>7</v>
      </c>
      <c r="R144" s="41">
        <v>60</v>
      </c>
      <c r="S144" t="s">
        <v>5449</v>
      </c>
      <c r="T144" t="s">
        <v>5025</v>
      </c>
      <c r="V144" t="s">
        <v>1182</v>
      </c>
      <c r="X144">
        <v>1</v>
      </c>
      <c r="Y144" t="s">
        <v>5448</v>
      </c>
      <c r="AH144" t="s">
        <v>359</v>
      </c>
    </row>
    <row r="145" spans="1:34" ht="15.75">
      <c r="A145" s="29">
        <f t="shared" si="2"/>
        <v>141000</v>
      </c>
      <c r="B145" s="30">
        <v>568</v>
      </c>
      <c r="C145" s="30">
        <v>1</v>
      </c>
      <c r="D145" s="30">
        <v>1817</v>
      </c>
      <c r="E145">
        <v>12032</v>
      </c>
      <c r="F145" s="30">
        <v>69</v>
      </c>
      <c r="H145" t="s">
        <v>1540</v>
      </c>
      <c r="I145" s="30">
        <v>0</v>
      </c>
      <c r="J145" s="30">
        <f>5700+1350</f>
        <v>7050</v>
      </c>
      <c r="K145" s="30" t="s">
        <v>1549</v>
      </c>
      <c r="L145" s="43" t="s">
        <v>4978</v>
      </c>
      <c r="M145" s="41" t="s">
        <v>1181</v>
      </c>
      <c r="N145" s="41" t="s">
        <v>133</v>
      </c>
      <c r="O145" s="41" t="s">
        <v>5448</v>
      </c>
      <c r="P145" s="41">
        <v>31</v>
      </c>
      <c r="Q145" s="41">
        <v>7</v>
      </c>
      <c r="T145" t="s">
        <v>134</v>
      </c>
      <c r="V145" t="s">
        <v>5686</v>
      </c>
      <c r="W145" s="4"/>
      <c r="X145">
        <v>1</v>
      </c>
      <c r="Y145" t="s">
        <v>135</v>
      </c>
      <c r="AH145" t="s">
        <v>359</v>
      </c>
    </row>
    <row r="146" spans="1:34" ht="15.75">
      <c r="A146" s="29">
        <f t="shared" si="2"/>
        <v>14520</v>
      </c>
      <c r="B146" s="2">
        <v>461</v>
      </c>
      <c r="C146" s="2">
        <v>8</v>
      </c>
      <c r="D146" s="2">
        <v>1817</v>
      </c>
      <c r="E146">
        <v>8865</v>
      </c>
      <c r="F146" s="2">
        <v>70</v>
      </c>
      <c r="H146" t="s">
        <v>1540</v>
      </c>
      <c r="I146" s="2">
        <v>0</v>
      </c>
      <c r="J146" s="2">
        <v>726</v>
      </c>
      <c r="K146" s="2" t="s">
        <v>869</v>
      </c>
      <c r="L146" s="43" t="s">
        <v>5644</v>
      </c>
      <c r="M146" s="41" t="s">
        <v>598</v>
      </c>
      <c r="N146" s="41" t="s">
        <v>851</v>
      </c>
      <c r="O146" s="41" t="s">
        <v>5645</v>
      </c>
      <c r="P146" s="41">
        <v>6</v>
      </c>
      <c r="Q146" s="41">
        <v>7</v>
      </c>
      <c r="R146" s="41" t="s">
        <v>868</v>
      </c>
      <c r="S146" t="s">
        <v>3321</v>
      </c>
      <c r="X146">
        <v>1</v>
      </c>
      <c r="Y146" t="s">
        <v>5646</v>
      </c>
      <c r="AH146" t="s">
        <v>359</v>
      </c>
    </row>
    <row r="147" spans="1:34" ht="15.75">
      <c r="A147" s="29">
        <f t="shared" si="2"/>
        <v>7153</v>
      </c>
      <c r="B147" s="2">
        <v>764</v>
      </c>
      <c r="C147" s="2">
        <v>3</v>
      </c>
      <c r="D147" s="2">
        <v>1817</v>
      </c>
      <c r="E147">
        <v>9680</v>
      </c>
      <c r="F147" s="2">
        <v>70</v>
      </c>
      <c r="G147" s="1"/>
      <c r="H147" t="s">
        <v>1540</v>
      </c>
      <c r="I147" s="2">
        <v>7153</v>
      </c>
      <c r="J147" s="2">
        <v>0</v>
      </c>
      <c r="K147" s="2" t="s">
        <v>870</v>
      </c>
      <c r="L147" s="43" t="s">
        <v>5644</v>
      </c>
      <c r="P147" s="41">
        <v>6</v>
      </c>
      <c r="Q147" s="41">
        <v>7</v>
      </c>
      <c r="R147" s="41">
        <v>76</v>
      </c>
      <c r="S147" t="s">
        <v>3321</v>
      </c>
      <c r="AH147" t="s">
        <v>359</v>
      </c>
    </row>
    <row r="148" spans="1:34" ht="15.75">
      <c r="A148" s="29">
        <f t="shared" si="2"/>
        <v>9641</v>
      </c>
      <c r="B148" s="6">
        <v>991</v>
      </c>
      <c r="C148">
        <v>5</v>
      </c>
      <c r="D148" s="2">
        <v>1817</v>
      </c>
      <c r="E148">
        <v>600</v>
      </c>
      <c r="F148">
        <v>71</v>
      </c>
      <c r="H148" t="s">
        <v>1549</v>
      </c>
      <c r="I148" s="2">
        <v>9641</v>
      </c>
      <c r="J148" s="2">
        <v>0</v>
      </c>
      <c r="K148" s="2" t="s">
        <v>870</v>
      </c>
      <c r="L148" s="43" t="s">
        <v>2106</v>
      </c>
      <c r="P148" s="41">
        <v>30</v>
      </c>
      <c r="Q148" s="41">
        <v>7</v>
      </c>
      <c r="R148" s="41">
        <v>80</v>
      </c>
      <c r="S148" t="s">
        <v>1547</v>
      </c>
      <c r="AH148" t="s">
        <v>359</v>
      </c>
    </row>
    <row r="149" spans="1:34" ht="15.75">
      <c r="A149" s="29">
        <f t="shared" si="2"/>
        <v>10000</v>
      </c>
      <c r="B149" s="8">
        <v>764</v>
      </c>
      <c r="C149" s="8">
        <v>3</v>
      </c>
      <c r="D149" s="8">
        <v>1817</v>
      </c>
      <c r="E149">
        <v>9685</v>
      </c>
      <c r="F149" s="8">
        <v>71</v>
      </c>
      <c r="G149" s="7"/>
      <c r="H149" s="9" t="s">
        <v>1540</v>
      </c>
      <c r="I149" s="8">
        <v>0</v>
      </c>
      <c r="J149" s="8">
        <v>500</v>
      </c>
      <c r="K149" s="2" t="s">
        <v>870</v>
      </c>
      <c r="L149" s="43" t="s">
        <v>2106</v>
      </c>
      <c r="M149" s="41" t="s">
        <v>2107</v>
      </c>
      <c r="N149" s="41" t="s">
        <v>374</v>
      </c>
      <c r="O149" s="41" t="s">
        <v>2108</v>
      </c>
      <c r="P149" s="41">
        <v>30</v>
      </c>
      <c r="Q149" s="41">
        <v>7</v>
      </c>
      <c r="R149" s="41" t="s">
        <v>1547</v>
      </c>
      <c r="S149" t="s">
        <v>2109</v>
      </c>
      <c r="T149" t="s">
        <v>2110</v>
      </c>
      <c r="V149" t="s">
        <v>1611</v>
      </c>
      <c r="X149">
        <v>1</v>
      </c>
      <c r="Y149" t="s">
        <v>2111</v>
      </c>
      <c r="AH149" t="s">
        <v>359</v>
      </c>
    </row>
    <row r="150" spans="1:34" ht="15.75">
      <c r="A150" s="29">
        <f t="shared" si="2"/>
        <v>26000</v>
      </c>
      <c r="B150" s="15">
        <v>878</v>
      </c>
      <c r="C150" s="15">
        <v>6</v>
      </c>
      <c r="D150" s="2">
        <v>1817</v>
      </c>
      <c r="E150">
        <v>5140</v>
      </c>
      <c r="F150" s="15">
        <v>72</v>
      </c>
      <c r="G150" s="15"/>
      <c r="H150" s="15" t="s">
        <v>1541</v>
      </c>
      <c r="I150" s="15">
        <v>0</v>
      </c>
      <c r="J150" s="15">
        <v>1300</v>
      </c>
      <c r="K150" s="15" t="s">
        <v>870</v>
      </c>
      <c r="L150" s="43" t="s">
        <v>3781</v>
      </c>
      <c r="M150" s="41" t="s">
        <v>4841</v>
      </c>
      <c r="O150" s="41" t="s">
        <v>3782</v>
      </c>
      <c r="P150" s="41">
        <v>5</v>
      </c>
      <c r="Q150" s="41">
        <v>7</v>
      </c>
      <c r="R150" s="41" t="s">
        <v>868</v>
      </c>
      <c r="S150" s="15" t="s">
        <v>1547</v>
      </c>
      <c r="T150" s="15" t="s">
        <v>1547</v>
      </c>
      <c r="U150" s="15"/>
      <c r="V150" s="15" t="s">
        <v>3783</v>
      </c>
      <c r="W150" s="15"/>
      <c r="X150" s="15">
        <v>1</v>
      </c>
      <c r="Y150" s="15" t="s">
        <v>3784</v>
      </c>
      <c r="Z150" s="15"/>
      <c r="AA150" s="15"/>
      <c r="AB150" s="15"/>
      <c r="AC150" s="15"/>
      <c r="AD150" s="15"/>
      <c r="AE150" s="15"/>
      <c r="AF150" s="15"/>
      <c r="AG150" s="15"/>
      <c r="AH150" t="s">
        <v>359</v>
      </c>
    </row>
    <row r="151" spans="1:34" ht="15.75">
      <c r="A151" s="29">
        <f t="shared" si="2"/>
        <v>37127</v>
      </c>
      <c r="B151" s="8">
        <v>670</v>
      </c>
      <c r="C151" s="2">
        <v>9</v>
      </c>
      <c r="D151" s="2">
        <v>1817</v>
      </c>
      <c r="E151">
        <v>7289</v>
      </c>
      <c r="F151" s="8">
        <v>72</v>
      </c>
      <c r="G151" s="7"/>
      <c r="H151" s="7" t="s">
        <v>1541</v>
      </c>
      <c r="I151" s="8">
        <v>21127</v>
      </c>
      <c r="J151" s="8">
        <v>800</v>
      </c>
      <c r="K151" s="8" t="s">
        <v>870</v>
      </c>
      <c r="L151" s="43" t="s">
        <v>3781</v>
      </c>
      <c r="M151" s="41" t="s">
        <v>4841</v>
      </c>
      <c r="N151" s="41" t="s">
        <v>5136</v>
      </c>
      <c r="O151" s="41" t="s">
        <v>5137</v>
      </c>
      <c r="P151" s="41">
        <v>5</v>
      </c>
      <c r="Q151" s="41">
        <v>7</v>
      </c>
      <c r="R151" s="41">
        <v>44</v>
      </c>
      <c r="S151" t="s">
        <v>5135</v>
      </c>
      <c r="T151" t="s">
        <v>5138</v>
      </c>
      <c r="V151" t="s">
        <v>3783</v>
      </c>
      <c r="X151">
        <v>1</v>
      </c>
      <c r="Y151" t="s">
        <v>5139</v>
      </c>
      <c r="AH151" t="s">
        <v>359</v>
      </c>
    </row>
    <row r="152" spans="1:34" ht="15.75">
      <c r="A152" s="39">
        <f t="shared" si="2"/>
        <v>60281</v>
      </c>
      <c r="B152" s="6">
        <v>1003</v>
      </c>
      <c r="C152">
        <v>5</v>
      </c>
      <c r="D152" s="2">
        <v>1817</v>
      </c>
      <c r="E152">
        <v>683</v>
      </c>
      <c r="F152">
        <v>73</v>
      </c>
      <c r="H152" t="s">
        <v>1541</v>
      </c>
      <c r="I152" s="2">
        <v>60281</v>
      </c>
      <c r="J152" s="2">
        <v>0</v>
      </c>
      <c r="K152" s="2" t="s">
        <v>872</v>
      </c>
      <c r="L152" s="43" t="s">
        <v>711</v>
      </c>
      <c r="M152" s="41" t="s">
        <v>712</v>
      </c>
      <c r="N152" s="41" t="s">
        <v>1555</v>
      </c>
      <c r="O152" s="41" t="s">
        <v>2944</v>
      </c>
      <c r="P152" s="41">
        <v>8</v>
      </c>
      <c r="Q152" s="41">
        <v>7</v>
      </c>
      <c r="R152" s="41">
        <v>73</v>
      </c>
      <c r="S152" t="s">
        <v>2945</v>
      </c>
      <c r="T152" t="s">
        <v>1274</v>
      </c>
      <c r="V152" t="s">
        <v>1261</v>
      </c>
      <c r="AH152" t="s">
        <v>359</v>
      </c>
    </row>
    <row r="153" spans="1:34" ht="15.75">
      <c r="A153" s="29">
        <f t="shared" si="2"/>
        <v>5000</v>
      </c>
      <c r="B153" s="2">
        <v>771</v>
      </c>
      <c r="C153" s="2">
        <v>3</v>
      </c>
      <c r="D153" s="2">
        <v>1817</v>
      </c>
      <c r="E153">
        <v>9743</v>
      </c>
      <c r="F153" s="2">
        <v>73</v>
      </c>
      <c r="G153" s="1"/>
      <c r="H153" t="s">
        <v>850</v>
      </c>
      <c r="I153" s="2">
        <v>0</v>
      </c>
      <c r="J153" s="2">
        <v>500</v>
      </c>
      <c r="K153" s="2" t="s">
        <v>872</v>
      </c>
      <c r="L153" s="43" t="s">
        <v>711</v>
      </c>
      <c r="P153" s="41">
        <v>8</v>
      </c>
      <c r="Q153" s="41">
        <v>7</v>
      </c>
      <c r="R153" s="41" t="s">
        <v>1547</v>
      </c>
      <c r="S153" t="s">
        <v>874</v>
      </c>
      <c r="X153">
        <v>0.5</v>
      </c>
      <c r="Y153" t="s">
        <v>2185</v>
      </c>
      <c r="AH153" t="s">
        <v>359</v>
      </c>
    </row>
    <row r="154" spans="1:34" ht="15.75">
      <c r="A154" s="29">
        <f t="shared" si="2"/>
        <v>16000</v>
      </c>
      <c r="B154" s="6">
        <v>1011</v>
      </c>
      <c r="C154">
        <v>5</v>
      </c>
      <c r="D154" s="2">
        <v>1817</v>
      </c>
      <c r="E154">
        <v>712</v>
      </c>
      <c r="F154">
        <v>74</v>
      </c>
      <c r="H154" t="s">
        <v>850</v>
      </c>
      <c r="I154" s="2">
        <v>0</v>
      </c>
      <c r="J154" s="2">
        <v>800</v>
      </c>
      <c r="K154" s="2" t="s">
        <v>874</v>
      </c>
      <c r="L154" s="43" t="s">
        <v>5790</v>
      </c>
      <c r="O154" s="41" t="s">
        <v>5791</v>
      </c>
      <c r="P154" s="41">
        <v>10</v>
      </c>
      <c r="Q154" s="41">
        <v>7</v>
      </c>
      <c r="R154" s="41" t="s">
        <v>1547</v>
      </c>
      <c r="S154" t="s">
        <v>1547</v>
      </c>
      <c r="V154" t="s">
        <v>3553</v>
      </c>
      <c r="X154">
        <v>1</v>
      </c>
      <c r="Y154" t="s">
        <v>5792</v>
      </c>
      <c r="AH154" t="s">
        <v>359</v>
      </c>
    </row>
    <row r="155" spans="1:34" ht="15.75">
      <c r="A155" s="29">
        <f t="shared" si="2"/>
        <v>2209</v>
      </c>
      <c r="B155" s="30">
        <v>588</v>
      </c>
      <c r="C155" s="30">
        <v>1</v>
      </c>
      <c r="D155" s="30">
        <v>1817</v>
      </c>
      <c r="E155">
        <v>12721</v>
      </c>
      <c r="F155" s="30">
        <v>74</v>
      </c>
      <c r="G155" s="29"/>
      <c r="H155" t="s">
        <v>1540</v>
      </c>
      <c r="I155" s="30">
        <v>2209</v>
      </c>
      <c r="J155" s="30">
        <v>0</v>
      </c>
      <c r="K155" s="30" t="s">
        <v>874</v>
      </c>
      <c r="L155" s="43" t="s">
        <v>5688</v>
      </c>
      <c r="P155" s="41">
        <v>10</v>
      </c>
      <c r="Q155" s="41">
        <v>7</v>
      </c>
      <c r="R155" s="41">
        <v>52</v>
      </c>
      <c r="S155" t="s">
        <v>3321</v>
      </c>
      <c r="AH155" t="s">
        <v>359</v>
      </c>
    </row>
    <row r="156" spans="1:34" ht="15.75">
      <c r="A156" s="29">
        <f t="shared" si="2"/>
        <v>2535</v>
      </c>
      <c r="B156" s="6">
        <v>980</v>
      </c>
      <c r="C156">
        <v>5</v>
      </c>
      <c r="D156" s="2">
        <v>1817</v>
      </c>
      <c r="E156">
        <v>516</v>
      </c>
      <c r="F156">
        <v>75</v>
      </c>
      <c r="H156" t="s">
        <v>850</v>
      </c>
      <c r="I156" s="2">
        <v>2535</v>
      </c>
      <c r="J156" s="2">
        <v>0</v>
      </c>
      <c r="K156" s="2" t="s">
        <v>866</v>
      </c>
      <c r="L156" s="43" t="s">
        <v>5527</v>
      </c>
      <c r="P156" s="41">
        <v>4</v>
      </c>
      <c r="Q156" s="41">
        <v>8</v>
      </c>
      <c r="R156" s="41">
        <v>67</v>
      </c>
      <c r="S156" t="s">
        <v>3329</v>
      </c>
      <c r="AH156" t="s">
        <v>359</v>
      </c>
    </row>
    <row r="157" spans="1:34" ht="15.75">
      <c r="A157" s="29">
        <f t="shared" si="2"/>
        <v>76000</v>
      </c>
      <c r="B157" s="2">
        <v>456</v>
      </c>
      <c r="C157" s="2">
        <v>8</v>
      </c>
      <c r="D157" s="2">
        <v>1817</v>
      </c>
      <c r="E157">
        <v>8684</v>
      </c>
      <c r="F157" s="2">
        <v>75</v>
      </c>
      <c r="H157" t="s">
        <v>1541</v>
      </c>
      <c r="I157" s="2">
        <v>0</v>
      </c>
      <c r="J157" s="2">
        <v>3800</v>
      </c>
      <c r="K157" s="2" t="s">
        <v>866</v>
      </c>
      <c r="L157" s="43" t="s">
        <v>5527</v>
      </c>
      <c r="M157" s="41" t="s">
        <v>4786</v>
      </c>
      <c r="O157" s="41" t="s">
        <v>5528</v>
      </c>
      <c r="P157" s="41">
        <v>4</v>
      </c>
      <c r="Q157" s="41">
        <v>8</v>
      </c>
      <c r="S157" t="s">
        <v>5529</v>
      </c>
      <c r="T157" t="s">
        <v>5530</v>
      </c>
      <c r="V157" t="s">
        <v>1671</v>
      </c>
      <c r="X157">
        <v>1</v>
      </c>
      <c r="Y157" t="s">
        <v>5531</v>
      </c>
      <c r="AH157" t="s">
        <v>359</v>
      </c>
    </row>
    <row r="158" spans="1:34" ht="15.75">
      <c r="A158" s="29">
        <f t="shared" si="2"/>
        <v>17500</v>
      </c>
      <c r="B158" s="6">
        <v>982</v>
      </c>
      <c r="C158">
        <v>5</v>
      </c>
      <c r="D158" s="2">
        <v>1817</v>
      </c>
      <c r="E158">
        <v>532</v>
      </c>
      <c r="F158">
        <v>76</v>
      </c>
      <c r="H158" t="s">
        <v>1541</v>
      </c>
      <c r="I158" s="2">
        <v>0</v>
      </c>
      <c r="J158" s="2">
        <v>1750</v>
      </c>
      <c r="K158" s="2" t="s">
        <v>867</v>
      </c>
      <c r="L158" s="43" t="s">
        <v>1239</v>
      </c>
      <c r="M158" s="41" t="s">
        <v>1240</v>
      </c>
      <c r="O158" s="41" t="s">
        <v>1241</v>
      </c>
      <c r="P158" s="41">
        <v>22</v>
      </c>
      <c r="Q158" s="41">
        <v>8</v>
      </c>
      <c r="R158" s="41" t="s">
        <v>1547</v>
      </c>
      <c r="S158" t="s">
        <v>1242</v>
      </c>
      <c r="T158" t="s">
        <v>1243</v>
      </c>
      <c r="V158" t="s">
        <v>1244</v>
      </c>
      <c r="X158">
        <v>0.5</v>
      </c>
      <c r="Y158" t="s">
        <v>1245</v>
      </c>
      <c r="AH158" t="s">
        <v>359</v>
      </c>
    </row>
    <row r="159" spans="1:34" ht="15.75">
      <c r="A159" s="29">
        <f t="shared" si="2"/>
        <v>1669</v>
      </c>
      <c r="B159" s="18">
        <v>868</v>
      </c>
      <c r="C159" s="15">
        <v>6</v>
      </c>
      <c r="D159" s="2">
        <v>1817</v>
      </c>
      <c r="E159">
        <v>4762</v>
      </c>
      <c r="F159" s="18">
        <v>76</v>
      </c>
      <c r="G159" s="18"/>
      <c r="H159" s="18" t="s">
        <v>1541</v>
      </c>
      <c r="I159" s="18">
        <v>1669</v>
      </c>
      <c r="J159" s="18">
        <v>0</v>
      </c>
      <c r="K159" s="15" t="s">
        <v>867</v>
      </c>
      <c r="L159" s="43" t="s">
        <v>1239</v>
      </c>
      <c r="P159" s="41">
        <v>22</v>
      </c>
      <c r="Q159" s="41">
        <v>8</v>
      </c>
      <c r="R159" s="41">
        <v>41</v>
      </c>
      <c r="S159" t="s">
        <v>3321</v>
      </c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t="s">
        <v>359</v>
      </c>
    </row>
    <row r="160" spans="1:34" ht="15.75">
      <c r="A160" s="29">
        <f t="shared" si="2"/>
        <v>16000</v>
      </c>
      <c r="B160" s="18">
        <v>872</v>
      </c>
      <c r="C160" s="15">
        <v>6</v>
      </c>
      <c r="D160" s="2">
        <v>1817</v>
      </c>
      <c r="E160">
        <v>4937</v>
      </c>
      <c r="F160" s="18">
        <v>77</v>
      </c>
      <c r="G160" s="18"/>
      <c r="H160" s="18" t="s">
        <v>1540</v>
      </c>
      <c r="I160" s="18">
        <v>0</v>
      </c>
      <c r="J160" s="18">
        <v>800</v>
      </c>
      <c r="K160" s="15" t="s">
        <v>867</v>
      </c>
      <c r="L160" s="43" t="s">
        <v>5692</v>
      </c>
      <c r="P160" s="41">
        <v>21</v>
      </c>
      <c r="Q160" s="41">
        <v>8</v>
      </c>
      <c r="R160" s="41" t="s">
        <v>868</v>
      </c>
      <c r="S160" t="s">
        <v>1547</v>
      </c>
      <c r="T160" s="15" t="s">
        <v>1352</v>
      </c>
      <c r="U160" s="15"/>
      <c r="V160" s="15"/>
      <c r="W160" s="15"/>
      <c r="X160" s="15">
        <v>1</v>
      </c>
      <c r="Y160" s="15" t="s">
        <v>3761</v>
      </c>
      <c r="Z160" s="15"/>
      <c r="AA160" s="15"/>
      <c r="AB160" s="15"/>
      <c r="AC160" s="15"/>
      <c r="AD160" s="15"/>
      <c r="AE160" s="15"/>
      <c r="AF160" s="15"/>
      <c r="AG160" s="15"/>
      <c r="AH160" t="s">
        <v>359</v>
      </c>
    </row>
    <row r="161" spans="1:34" ht="15.75">
      <c r="A161" s="29">
        <f t="shared" si="2"/>
        <v>14000</v>
      </c>
      <c r="B161" s="30">
        <v>577</v>
      </c>
      <c r="C161" s="30">
        <v>1</v>
      </c>
      <c r="D161" s="30">
        <v>1817</v>
      </c>
      <c r="E161">
        <v>12366</v>
      </c>
      <c r="F161" s="30">
        <v>77</v>
      </c>
      <c r="H161" s="30" t="s">
        <v>1540</v>
      </c>
      <c r="I161" s="30">
        <v>0</v>
      </c>
      <c r="J161" s="30">
        <v>1400</v>
      </c>
      <c r="K161" s="30" t="s">
        <v>867</v>
      </c>
      <c r="L161" s="43" t="s">
        <v>5692</v>
      </c>
      <c r="P161" s="41">
        <v>21</v>
      </c>
      <c r="Q161" s="41">
        <v>8</v>
      </c>
      <c r="R161" s="41" t="s">
        <v>1547</v>
      </c>
      <c r="S161" t="s">
        <v>3321</v>
      </c>
      <c r="X161">
        <v>0.5</v>
      </c>
      <c r="Y161" t="s">
        <v>244</v>
      </c>
      <c r="AH161" t="s">
        <v>359</v>
      </c>
    </row>
    <row r="162" spans="1:34" ht="15.75">
      <c r="A162" s="29">
        <f t="shared" si="2"/>
        <v>18987</v>
      </c>
      <c r="B162" s="6">
        <v>988</v>
      </c>
      <c r="C162">
        <v>5</v>
      </c>
      <c r="D162" s="2">
        <v>1817</v>
      </c>
      <c r="E162">
        <v>587</v>
      </c>
      <c r="F162">
        <v>78</v>
      </c>
      <c r="H162" t="s">
        <v>1541</v>
      </c>
      <c r="I162" s="2">
        <v>1687</v>
      </c>
      <c r="J162" s="2">
        <f>34600/20</f>
        <v>1730</v>
      </c>
      <c r="K162" s="2" t="s">
        <v>868</v>
      </c>
      <c r="L162" s="43" t="s">
        <v>3580</v>
      </c>
      <c r="M162" s="41" t="s">
        <v>3581</v>
      </c>
      <c r="O162" s="41" t="s">
        <v>2966</v>
      </c>
      <c r="P162" s="41">
        <v>6</v>
      </c>
      <c r="Q162" s="41">
        <v>8</v>
      </c>
      <c r="R162" s="41">
        <v>54</v>
      </c>
      <c r="S162" t="s">
        <v>2967</v>
      </c>
      <c r="V162" t="s">
        <v>3131</v>
      </c>
      <c r="X162">
        <v>0.5</v>
      </c>
      <c r="Y162" t="s">
        <v>2966</v>
      </c>
      <c r="AH162" t="s">
        <v>359</v>
      </c>
    </row>
    <row r="163" spans="1:34" ht="15.75">
      <c r="A163" s="29">
        <f t="shared" si="2"/>
        <v>33600</v>
      </c>
      <c r="B163" s="2">
        <v>460</v>
      </c>
      <c r="C163" s="2">
        <v>8</v>
      </c>
      <c r="D163" s="2">
        <v>1817</v>
      </c>
      <c r="E163">
        <v>8843</v>
      </c>
      <c r="F163" s="2">
        <v>78</v>
      </c>
      <c r="H163" t="s">
        <v>1541</v>
      </c>
      <c r="I163" s="2">
        <v>0</v>
      </c>
      <c r="J163" s="2">
        <v>1680</v>
      </c>
      <c r="K163" s="2" t="s">
        <v>868</v>
      </c>
      <c r="L163" s="43" t="s">
        <v>3580</v>
      </c>
      <c r="M163" s="41" t="s">
        <v>3581</v>
      </c>
      <c r="O163" s="41" t="s">
        <v>5618</v>
      </c>
      <c r="P163" s="41">
        <v>4</v>
      </c>
      <c r="Q163" s="41">
        <v>8</v>
      </c>
      <c r="S163" t="s">
        <v>5619</v>
      </c>
      <c r="T163" t="s">
        <v>4649</v>
      </c>
      <c r="V163" t="s">
        <v>3131</v>
      </c>
      <c r="X163">
        <v>1</v>
      </c>
      <c r="Y163" t="s">
        <v>5620</v>
      </c>
      <c r="AH163" t="s">
        <v>359</v>
      </c>
    </row>
    <row r="164" spans="1:34" ht="15.75">
      <c r="A164" s="29">
        <f t="shared" si="2"/>
        <v>1125</v>
      </c>
      <c r="B164" s="6">
        <v>1005</v>
      </c>
      <c r="C164">
        <v>5</v>
      </c>
      <c r="D164" s="2">
        <v>1817</v>
      </c>
      <c r="E164">
        <v>693</v>
      </c>
      <c r="F164">
        <v>79</v>
      </c>
      <c r="H164" t="s">
        <v>1540</v>
      </c>
      <c r="I164" s="2">
        <v>0</v>
      </c>
      <c r="J164" s="2">
        <v>450</v>
      </c>
      <c r="K164" s="2" t="s">
        <v>872</v>
      </c>
      <c r="L164" s="43" t="s">
        <v>4234</v>
      </c>
      <c r="O164" s="41" t="s">
        <v>4235</v>
      </c>
      <c r="P164" s="41">
        <v>9</v>
      </c>
      <c r="Q164" s="41">
        <v>8</v>
      </c>
      <c r="R164" s="41" t="s">
        <v>1199</v>
      </c>
      <c r="S164" t="s">
        <v>3343</v>
      </c>
      <c r="X164">
        <v>0.125</v>
      </c>
      <c r="Y164" t="s">
        <v>3471</v>
      </c>
      <c r="AH164" t="s">
        <v>359</v>
      </c>
    </row>
    <row r="165" spans="1:34" ht="15.75">
      <c r="A165" s="29">
        <f t="shared" si="2"/>
        <v>1430</v>
      </c>
      <c r="B165" s="2">
        <v>468</v>
      </c>
      <c r="C165" s="2">
        <v>8</v>
      </c>
      <c r="D165" s="2">
        <v>1817</v>
      </c>
      <c r="E165">
        <v>9120</v>
      </c>
      <c r="F165" s="2">
        <v>79</v>
      </c>
      <c r="H165" t="s">
        <v>1540</v>
      </c>
      <c r="I165" s="2">
        <v>930</v>
      </c>
      <c r="J165" s="2">
        <v>25</v>
      </c>
      <c r="K165" s="8" t="s">
        <v>872</v>
      </c>
      <c r="L165" s="43" t="s">
        <v>4234</v>
      </c>
      <c r="P165" s="43">
        <v>9</v>
      </c>
      <c r="Q165" s="43">
        <v>8</v>
      </c>
      <c r="R165" s="43">
        <v>34</v>
      </c>
      <c r="S165" s="9" t="s">
        <v>5227</v>
      </c>
      <c r="X165">
        <v>1</v>
      </c>
      <c r="Y165" t="s">
        <v>2593</v>
      </c>
      <c r="AH165" t="s">
        <v>359</v>
      </c>
    </row>
    <row r="166" spans="1:34" ht="15.75">
      <c r="A166" s="29">
        <f t="shared" si="2"/>
        <v>11030</v>
      </c>
      <c r="B166" s="8">
        <v>744</v>
      </c>
      <c r="C166" s="2">
        <v>3</v>
      </c>
      <c r="D166" s="8">
        <v>1817</v>
      </c>
      <c r="E166">
        <v>9488</v>
      </c>
      <c r="F166" s="8">
        <v>80</v>
      </c>
      <c r="G166" s="7"/>
      <c r="H166" s="9" t="s">
        <v>1541</v>
      </c>
      <c r="I166" s="8">
        <v>7000</v>
      </c>
      <c r="J166" s="8">
        <v>403</v>
      </c>
      <c r="K166" s="8" t="s">
        <v>850</v>
      </c>
      <c r="L166" s="43" t="s">
        <v>1875</v>
      </c>
      <c r="M166" s="41" t="s">
        <v>4841</v>
      </c>
      <c r="N166" s="41" t="s">
        <v>1555</v>
      </c>
      <c r="O166" s="41" t="s">
        <v>1876</v>
      </c>
      <c r="P166" s="41">
        <v>19</v>
      </c>
      <c r="Q166" s="41">
        <v>9</v>
      </c>
      <c r="R166" s="41">
        <v>37</v>
      </c>
      <c r="S166" t="s">
        <v>1877</v>
      </c>
      <c r="T166" t="s">
        <v>5651</v>
      </c>
      <c r="V166" t="s">
        <v>1878</v>
      </c>
      <c r="X166">
        <v>0.5</v>
      </c>
      <c r="Y166" t="s">
        <v>1876</v>
      </c>
      <c r="AH166" t="s">
        <v>359</v>
      </c>
    </row>
    <row r="167" spans="1:34" ht="15.75">
      <c r="A167" s="29">
        <f t="shared" si="2"/>
        <v>36000</v>
      </c>
      <c r="B167" s="30">
        <v>563</v>
      </c>
      <c r="C167" s="30"/>
      <c r="D167" s="30"/>
      <c r="E167">
        <v>11904</v>
      </c>
      <c r="F167">
        <v>80</v>
      </c>
      <c r="H167" t="s">
        <v>850</v>
      </c>
      <c r="I167" s="30">
        <v>0</v>
      </c>
      <c r="J167" s="30">
        <v>1800</v>
      </c>
      <c r="K167" s="30" t="s">
        <v>850</v>
      </c>
      <c r="L167" s="43" t="s">
        <v>86</v>
      </c>
      <c r="M167" s="41" t="s">
        <v>4841</v>
      </c>
      <c r="O167" s="41" t="s">
        <v>87</v>
      </c>
      <c r="P167" s="41">
        <v>19</v>
      </c>
      <c r="Q167" s="41">
        <v>9</v>
      </c>
      <c r="R167" s="41" t="s">
        <v>1547</v>
      </c>
      <c r="S167" t="s">
        <v>3321</v>
      </c>
      <c r="T167" t="s">
        <v>1007</v>
      </c>
      <c r="V167" t="s">
        <v>1878</v>
      </c>
      <c r="X167">
        <v>1</v>
      </c>
      <c r="Y167" t="s">
        <v>88</v>
      </c>
      <c r="AH167" t="s">
        <v>359</v>
      </c>
    </row>
    <row r="168" spans="1:34" ht="15.75">
      <c r="A168" s="29">
        <f t="shared" si="2"/>
        <v>3720</v>
      </c>
      <c r="B168" s="6" t="s">
        <v>4311</v>
      </c>
      <c r="C168">
        <v>5</v>
      </c>
      <c r="D168" s="2">
        <v>1817</v>
      </c>
      <c r="E168">
        <v>393</v>
      </c>
      <c r="F168">
        <v>81</v>
      </c>
      <c r="H168" t="s">
        <v>850</v>
      </c>
      <c r="I168" s="2">
        <v>0</v>
      </c>
      <c r="J168" s="2">
        <f>3720/10</f>
        <v>372</v>
      </c>
      <c r="K168" s="2" t="s">
        <v>865</v>
      </c>
      <c r="L168" s="43" t="s">
        <v>4312</v>
      </c>
      <c r="M168" s="41" t="s">
        <v>1459</v>
      </c>
      <c r="O168" s="41" t="s">
        <v>3284</v>
      </c>
      <c r="P168" s="41">
        <v>9</v>
      </c>
      <c r="Q168" s="41">
        <v>9</v>
      </c>
      <c r="R168" s="41" t="s">
        <v>1547</v>
      </c>
      <c r="S168" t="s">
        <v>1460</v>
      </c>
      <c r="U168" t="s">
        <v>4962</v>
      </c>
      <c r="V168" t="s">
        <v>3005</v>
      </c>
      <c r="X168">
        <v>0.5</v>
      </c>
      <c r="Y168" t="s">
        <v>4313</v>
      </c>
      <c r="AH168" t="s">
        <v>359</v>
      </c>
    </row>
    <row r="169" spans="1:34" ht="15.75">
      <c r="A169" s="29">
        <f t="shared" si="2"/>
        <v>14080</v>
      </c>
      <c r="B169" s="8">
        <v>652</v>
      </c>
      <c r="C169" s="2">
        <v>9</v>
      </c>
      <c r="D169" s="2">
        <v>1817</v>
      </c>
      <c r="E169">
        <v>6622</v>
      </c>
      <c r="F169" s="8">
        <v>81</v>
      </c>
      <c r="G169" s="7"/>
      <c r="H169" s="7" t="s">
        <v>1541</v>
      </c>
      <c r="I169" s="8">
        <v>0</v>
      </c>
      <c r="J169" s="8">
        <f>304+400</f>
        <v>704</v>
      </c>
      <c r="K169" s="2" t="s">
        <v>865</v>
      </c>
      <c r="L169" s="43" t="s">
        <v>4312</v>
      </c>
      <c r="O169" s="41" t="s">
        <v>4962</v>
      </c>
      <c r="P169" s="41">
        <v>9</v>
      </c>
      <c r="Q169" s="41">
        <v>9</v>
      </c>
      <c r="R169" s="41">
        <v>60</v>
      </c>
      <c r="S169" t="s">
        <v>3329</v>
      </c>
      <c r="U169" t="s">
        <v>4962</v>
      </c>
      <c r="X169">
        <v>1</v>
      </c>
      <c r="Y169" t="s">
        <v>4963</v>
      </c>
      <c r="AH169" t="s">
        <v>359</v>
      </c>
    </row>
    <row r="170" spans="1:34" ht="15.75">
      <c r="A170" s="39">
        <f t="shared" si="2"/>
        <v>13000</v>
      </c>
      <c r="B170" s="2">
        <v>452</v>
      </c>
      <c r="C170" s="2">
        <v>8</v>
      </c>
      <c r="D170" s="2">
        <v>1817</v>
      </c>
      <c r="E170">
        <v>8518</v>
      </c>
      <c r="F170" s="2">
        <v>82</v>
      </c>
      <c r="H170" s="2" t="s">
        <v>1541</v>
      </c>
      <c r="I170" s="2">
        <v>0</v>
      </c>
      <c r="J170" s="2">
        <v>650</v>
      </c>
      <c r="K170" s="2" t="s">
        <v>866</v>
      </c>
      <c r="L170" s="43" t="s">
        <v>5693</v>
      </c>
      <c r="P170" s="41">
        <v>7</v>
      </c>
      <c r="Q170" s="41">
        <v>9</v>
      </c>
      <c r="R170" s="41" t="s">
        <v>868</v>
      </c>
      <c r="S170" t="s">
        <v>3321</v>
      </c>
      <c r="X170">
        <v>1</v>
      </c>
      <c r="Y170" s="15" t="s">
        <v>5479</v>
      </c>
      <c r="AH170" t="s">
        <v>359</v>
      </c>
    </row>
    <row r="171" spans="1:34" ht="15.75">
      <c r="A171" s="29">
        <f t="shared" si="2"/>
        <v>30500</v>
      </c>
      <c r="B171" s="30">
        <v>571</v>
      </c>
      <c r="C171" s="30">
        <v>1</v>
      </c>
      <c r="D171" s="30">
        <v>1817</v>
      </c>
      <c r="E171">
        <v>12111</v>
      </c>
      <c r="F171" s="30">
        <v>82</v>
      </c>
      <c r="H171" t="s">
        <v>850</v>
      </c>
      <c r="I171" s="29">
        <f>8980+6520</f>
        <v>15500</v>
      </c>
      <c r="J171" s="29">
        <v>1500</v>
      </c>
      <c r="K171" s="30" t="s">
        <v>866</v>
      </c>
      <c r="L171" s="43" t="s">
        <v>5846</v>
      </c>
      <c r="M171" s="41" t="s">
        <v>153</v>
      </c>
      <c r="O171" s="41" t="s">
        <v>154</v>
      </c>
      <c r="P171" s="41">
        <v>7</v>
      </c>
      <c r="Q171" s="41">
        <v>9</v>
      </c>
      <c r="R171" s="41">
        <v>30</v>
      </c>
      <c r="S171" t="s">
        <v>1708</v>
      </c>
      <c r="T171" t="s">
        <v>376</v>
      </c>
      <c r="V171" t="s">
        <v>1261</v>
      </c>
      <c r="X171">
        <v>0.5</v>
      </c>
      <c r="Y171" t="s">
        <v>155</v>
      </c>
      <c r="AH171" t="s">
        <v>359</v>
      </c>
    </row>
    <row r="172" spans="1:34" ht="15.75">
      <c r="A172" s="39">
        <f t="shared" si="2"/>
        <v>178</v>
      </c>
      <c r="B172" s="15">
        <v>866</v>
      </c>
      <c r="C172" s="15">
        <v>6</v>
      </c>
      <c r="D172" s="2">
        <v>1817</v>
      </c>
      <c r="E172">
        <v>4668</v>
      </c>
      <c r="F172" s="15">
        <v>83</v>
      </c>
      <c r="G172" s="15"/>
      <c r="H172" s="15" t="s">
        <v>1541</v>
      </c>
      <c r="I172" s="15">
        <v>178</v>
      </c>
      <c r="J172" s="15">
        <v>0</v>
      </c>
      <c r="K172" s="15" t="s">
        <v>866</v>
      </c>
      <c r="L172" s="43" t="s">
        <v>5274</v>
      </c>
      <c r="P172" s="41">
        <v>8</v>
      </c>
      <c r="Q172" s="41">
        <v>9</v>
      </c>
      <c r="R172" s="41" t="s">
        <v>868</v>
      </c>
      <c r="S172" s="15" t="s">
        <v>3329</v>
      </c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t="s">
        <v>359</v>
      </c>
    </row>
    <row r="173" spans="1:34" ht="15.75">
      <c r="A173" s="29">
        <f t="shared" si="2"/>
        <v>1600</v>
      </c>
      <c r="B173" s="2">
        <v>455</v>
      </c>
      <c r="C173" s="2">
        <v>8</v>
      </c>
      <c r="D173" s="2">
        <v>1817</v>
      </c>
      <c r="E173">
        <v>8644</v>
      </c>
      <c r="F173" s="2">
        <v>83</v>
      </c>
      <c r="H173" s="2" t="s">
        <v>1541</v>
      </c>
      <c r="I173" s="2">
        <v>0</v>
      </c>
      <c r="J173" s="2">
        <v>160</v>
      </c>
      <c r="K173" s="2" t="s">
        <v>866</v>
      </c>
      <c r="L173" s="43" t="s">
        <v>5274</v>
      </c>
      <c r="P173" s="41">
        <v>8</v>
      </c>
      <c r="Q173" s="41">
        <v>9</v>
      </c>
      <c r="R173" s="41" t="s">
        <v>868</v>
      </c>
      <c r="S173" s="23" t="s">
        <v>3329</v>
      </c>
      <c r="U173" s="2"/>
      <c r="V173" s="2"/>
      <c r="W173" s="2"/>
      <c r="X173" s="2">
        <v>0.5</v>
      </c>
      <c r="Y173" s="2" t="s">
        <v>5521</v>
      </c>
      <c r="AA173" s="2"/>
      <c r="AB173" s="3"/>
      <c r="AH173" t="s">
        <v>359</v>
      </c>
    </row>
    <row r="174" spans="1:34" ht="15.75">
      <c r="A174" s="29">
        <f t="shared" si="2"/>
        <v>36000</v>
      </c>
      <c r="B174" s="6">
        <v>987</v>
      </c>
      <c r="C174">
        <v>5</v>
      </c>
      <c r="D174" s="2">
        <v>1817</v>
      </c>
      <c r="E174">
        <v>578</v>
      </c>
      <c r="F174">
        <v>84</v>
      </c>
      <c r="H174" t="s">
        <v>1541</v>
      </c>
      <c r="I174" s="2">
        <v>0</v>
      </c>
      <c r="J174" s="2">
        <f>1200+600</f>
        <v>1800</v>
      </c>
      <c r="K174" s="2" t="s">
        <v>867</v>
      </c>
      <c r="L174" s="43" t="s">
        <v>5910</v>
      </c>
      <c r="M174" s="41" t="s">
        <v>2960</v>
      </c>
      <c r="O174" s="41" t="s">
        <v>2961</v>
      </c>
      <c r="P174" s="41">
        <v>10</v>
      </c>
      <c r="Q174" s="41">
        <v>9</v>
      </c>
      <c r="R174" s="41" t="s">
        <v>1547</v>
      </c>
      <c r="S174" t="s">
        <v>2962</v>
      </c>
      <c r="T174" t="s">
        <v>2963</v>
      </c>
      <c r="V174" t="s">
        <v>3365</v>
      </c>
      <c r="X174">
        <v>1</v>
      </c>
      <c r="Y174" t="s">
        <v>2981</v>
      </c>
      <c r="AH174" t="s">
        <v>359</v>
      </c>
    </row>
    <row r="175" spans="1:34" ht="15.75">
      <c r="A175" s="29">
        <f t="shared" si="2"/>
        <v>69942</v>
      </c>
      <c r="B175" s="18">
        <v>872</v>
      </c>
      <c r="C175" s="15">
        <v>6</v>
      </c>
      <c r="D175" s="2">
        <v>1817</v>
      </c>
      <c r="E175">
        <v>4933</v>
      </c>
      <c r="F175" s="18">
        <v>84</v>
      </c>
      <c r="G175" s="18"/>
      <c r="H175" s="18" t="s">
        <v>1541</v>
      </c>
      <c r="I175" s="18">
        <v>64342</v>
      </c>
      <c r="J175" s="18">
        <v>280</v>
      </c>
      <c r="K175" s="15" t="s">
        <v>867</v>
      </c>
      <c r="L175" s="43" t="s">
        <v>5910</v>
      </c>
      <c r="M175" s="43" t="s">
        <v>4766</v>
      </c>
      <c r="N175" s="41" t="s">
        <v>1555</v>
      </c>
      <c r="O175" s="41" t="s">
        <v>3753</v>
      </c>
      <c r="P175" s="41">
        <v>10</v>
      </c>
      <c r="Q175" s="41">
        <v>9</v>
      </c>
      <c r="R175" s="41">
        <v>47</v>
      </c>
      <c r="S175" s="15" t="s">
        <v>3754</v>
      </c>
      <c r="T175" s="15" t="s">
        <v>3755</v>
      </c>
      <c r="U175" s="15"/>
      <c r="V175" s="15" t="s">
        <v>3365</v>
      </c>
      <c r="W175" s="15"/>
      <c r="X175" s="15">
        <v>1</v>
      </c>
      <c r="Y175" s="15" t="s">
        <v>3756</v>
      </c>
      <c r="Z175" s="15"/>
      <c r="AA175" s="15"/>
      <c r="AB175" s="15"/>
      <c r="AC175" s="15"/>
      <c r="AD175" s="15"/>
      <c r="AE175" s="15"/>
      <c r="AF175" s="15"/>
      <c r="AG175" s="15"/>
      <c r="AH175" t="s">
        <v>359</v>
      </c>
    </row>
    <row r="176" spans="1:34" ht="15.75">
      <c r="A176" s="29">
        <f t="shared" si="2"/>
        <v>11767</v>
      </c>
      <c r="B176" s="2">
        <v>636</v>
      </c>
      <c r="C176" s="2">
        <v>9</v>
      </c>
      <c r="D176" s="2">
        <v>1817</v>
      </c>
      <c r="E176">
        <v>5937</v>
      </c>
      <c r="F176" s="2">
        <v>85</v>
      </c>
      <c r="G176" s="1"/>
      <c r="H176" t="s">
        <v>850</v>
      </c>
      <c r="I176" s="2">
        <v>1767</v>
      </c>
      <c r="J176" s="2">
        <v>500</v>
      </c>
      <c r="K176" s="2" t="s">
        <v>863</v>
      </c>
      <c r="L176" s="43" t="s">
        <v>1006</v>
      </c>
      <c r="P176" s="41">
        <v>10</v>
      </c>
      <c r="Q176" s="41">
        <v>10</v>
      </c>
      <c r="R176" s="41">
        <v>53</v>
      </c>
      <c r="S176" t="s">
        <v>3329</v>
      </c>
      <c r="X176">
        <v>1</v>
      </c>
      <c r="Y176" t="s">
        <v>3995</v>
      </c>
      <c r="AH176" t="s">
        <v>359</v>
      </c>
    </row>
    <row r="177" spans="1:34" ht="15.75">
      <c r="A177" s="29">
        <f t="shared" si="2"/>
        <v>2740</v>
      </c>
      <c r="B177" s="2">
        <v>733</v>
      </c>
      <c r="C177" s="2">
        <v>3</v>
      </c>
      <c r="D177" s="2">
        <v>1817</v>
      </c>
      <c r="E177">
        <v>9344</v>
      </c>
      <c r="F177" s="2">
        <v>85</v>
      </c>
      <c r="H177" s="2" t="s">
        <v>1541</v>
      </c>
      <c r="I177" s="2">
        <v>0</v>
      </c>
      <c r="J177" s="2">
        <v>137</v>
      </c>
      <c r="K177" s="2" t="s">
        <v>863</v>
      </c>
      <c r="L177" s="43" t="s">
        <v>1006</v>
      </c>
      <c r="P177" s="41">
        <v>11</v>
      </c>
      <c r="Q177" s="41">
        <v>10</v>
      </c>
      <c r="R177" s="41" t="s">
        <v>868</v>
      </c>
      <c r="S177" t="s">
        <v>3329</v>
      </c>
      <c r="X177">
        <v>1</v>
      </c>
      <c r="Y177" t="s">
        <v>2885</v>
      </c>
      <c r="AH177" t="s">
        <v>359</v>
      </c>
    </row>
    <row r="178" spans="1:34" ht="15.75">
      <c r="A178" s="29">
        <f t="shared" si="2"/>
        <v>40000</v>
      </c>
      <c r="B178" s="8">
        <v>734</v>
      </c>
      <c r="C178" s="8">
        <v>3</v>
      </c>
      <c r="D178" s="8">
        <v>1817</v>
      </c>
      <c r="E178">
        <v>9353</v>
      </c>
      <c r="F178" s="8">
        <v>86</v>
      </c>
      <c r="G178" s="7"/>
      <c r="H178" s="9" t="s">
        <v>1540</v>
      </c>
      <c r="I178" s="8">
        <v>0</v>
      </c>
      <c r="J178" s="8">
        <v>2000</v>
      </c>
      <c r="K178" s="2" t="s">
        <v>884</v>
      </c>
      <c r="L178" s="43" t="s">
        <v>2887</v>
      </c>
      <c r="M178" s="41" t="s">
        <v>3159</v>
      </c>
      <c r="N178" s="41" t="s">
        <v>1555</v>
      </c>
      <c r="O178" s="41" t="s">
        <v>2888</v>
      </c>
      <c r="P178" s="41" t="s">
        <v>4985</v>
      </c>
      <c r="Q178" s="41">
        <v>10</v>
      </c>
      <c r="R178" s="41" t="s">
        <v>1547</v>
      </c>
      <c r="S178" t="s">
        <v>1547</v>
      </c>
      <c r="T178" t="s">
        <v>3132</v>
      </c>
      <c r="V178" t="s">
        <v>2889</v>
      </c>
      <c r="X178">
        <v>1</v>
      </c>
      <c r="Y178" t="s">
        <v>2890</v>
      </c>
      <c r="AH178" t="s">
        <v>359</v>
      </c>
    </row>
    <row r="179" spans="1:34" ht="15.75">
      <c r="A179" s="29">
        <f t="shared" si="2"/>
        <v>136760</v>
      </c>
      <c r="B179" s="30">
        <v>555</v>
      </c>
      <c r="C179" s="30">
        <v>1</v>
      </c>
      <c r="D179" s="30">
        <v>1817</v>
      </c>
      <c r="E179">
        <v>11549</v>
      </c>
      <c r="F179" s="30">
        <v>86</v>
      </c>
      <c r="H179" t="s">
        <v>1540</v>
      </c>
      <c r="I179" s="30">
        <v>2100</v>
      </c>
      <c r="J179" s="30">
        <v>6733</v>
      </c>
      <c r="K179" s="30" t="s">
        <v>884</v>
      </c>
      <c r="L179" s="43" t="s">
        <v>2887</v>
      </c>
      <c r="M179" s="41" t="s">
        <v>3159</v>
      </c>
      <c r="O179" s="41" t="s">
        <v>1082</v>
      </c>
      <c r="P179" s="41">
        <v>0</v>
      </c>
      <c r="Q179" s="41">
        <v>10</v>
      </c>
      <c r="R179" s="41" t="s">
        <v>1199</v>
      </c>
      <c r="S179" t="s">
        <v>1083</v>
      </c>
      <c r="T179" t="s">
        <v>4649</v>
      </c>
      <c r="V179" t="s">
        <v>1084</v>
      </c>
      <c r="W179">
        <v>63</v>
      </c>
      <c r="X179">
        <v>1</v>
      </c>
      <c r="Y179" t="s">
        <v>1082</v>
      </c>
      <c r="AA179" t="s">
        <v>1085</v>
      </c>
      <c r="AH179" t="s">
        <v>359</v>
      </c>
    </row>
    <row r="180" spans="1:34" ht="15.75">
      <c r="A180" s="29">
        <f t="shared" si="2"/>
        <v>131747</v>
      </c>
      <c r="B180" s="2">
        <v>436</v>
      </c>
      <c r="C180" s="2">
        <v>8</v>
      </c>
      <c r="D180" s="2">
        <v>1817</v>
      </c>
      <c r="E180">
        <v>7957</v>
      </c>
      <c r="F180" s="2">
        <v>87</v>
      </c>
      <c r="H180" t="s">
        <v>1541</v>
      </c>
      <c r="I180" s="2">
        <f>14747+3000</f>
        <v>17747</v>
      </c>
      <c r="J180" s="2">
        <f>5000+700</f>
        <v>5700</v>
      </c>
      <c r="K180" s="2" t="s">
        <v>884</v>
      </c>
      <c r="L180" s="43" t="s">
        <v>4135</v>
      </c>
      <c r="M180" s="41" t="s">
        <v>4136</v>
      </c>
      <c r="O180" s="41" t="s">
        <v>4137</v>
      </c>
      <c r="P180" s="41">
        <v>27</v>
      </c>
      <c r="Q180" s="41">
        <v>10</v>
      </c>
      <c r="R180" s="41">
        <v>63</v>
      </c>
      <c r="S180" t="s">
        <v>4138</v>
      </c>
      <c r="T180" t="s">
        <v>4139</v>
      </c>
      <c r="V180" t="s">
        <v>4985</v>
      </c>
      <c r="X180">
        <v>1</v>
      </c>
      <c r="Y180" t="s">
        <v>4140</v>
      </c>
      <c r="AH180" t="s">
        <v>359</v>
      </c>
    </row>
    <row r="181" spans="1:34" ht="15.75">
      <c r="A181" s="29">
        <f t="shared" si="2"/>
        <v>16000</v>
      </c>
      <c r="B181" s="30">
        <v>556</v>
      </c>
      <c r="C181" s="30">
        <v>1</v>
      </c>
      <c r="D181" s="30">
        <v>1817</v>
      </c>
      <c r="E181">
        <v>11604</v>
      </c>
      <c r="F181" s="30">
        <v>87</v>
      </c>
      <c r="H181" t="s">
        <v>1541</v>
      </c>
      <c r="I181" s="30">
        <v>0</v>
      </c>
      <c r="J181" s="30">
        <v>800</v>
      </c>
      <c r="K181" s="30" t="s">
        <v>884</v>
      </c>
      <c r="L181" s="43" t="s">
        <v>4129</v>
      </c>
      <c r="M181" s="41" t="s">
        <v>1115</v>
      </c>
      <c r="O181" s="41" t="s">
        <v>4137</v>
      </c>
      <c r="P181" s="41">
        <v>17</v>
      </c>
      <c r="Q181" s="41">
        <v>10</v>
      </c>
      <c r="S181" t="s">
        <v>1116</v>
      </c>
      <c r="T181" t="s">
        <v>1117</v>
      </c>
      <c r="V181" t="s">
        <v>588</v>
      </c>
      <c r="X181">
        <v>1</v>
      </c>
      <c r="Y181" t="s">
        <v>1118</v>
      </c>
      <c r="AH181" t="s">
        <v>359</v>
      </c>
    </row>
    <row r="182" spans="1:34" ht="15.75">
      <c r="A182" s="29">
        <f t="shared" si="2"/>
        <v>19000</v>
      </c>
      <c r="B182" s="10">
        <v>949</v>
      </c>
      <c r="C182">
        <v>5</v>
      </c>
      <c r="D182" s="8">
        <v>1817</v>
      </c>
      <c r="E182">
        <v>187</v>
      </c>
      <c r="F182" s="9">
        <v>88</v>
      </c>
      <c r="G182" s="9"/>
      <c r="H182" s="9" t="s">
        <v>1540</v>
      </c>
      <c r="I182" s="8">
        <v>12000</v>
      </c>
      <c r="J182" s="8">
        <v>350</v>
      </c>
      <c r="K182" s="2" t="s">
        <v>884</v>
      </c>
      <c r="L182" s="43" t="s">
        <v>5694</v>
      </c>
      <c r="M182" s="41" t="s">
        <v>4657</v>
      </c>
      <c r="N182" s="41" t="s">
        <v>898</v>
      </c>
      <c r="O182" s="41" t="s">
        <v>4658</v>
      </c>
      <c r="P182" s="41">
        <v>27</v>
      </c>
      <c r="Q182" s="41">
        <v>10</v>
      </c>
      <c r="R182" s="41">
        <v>69</v>
      </c>
      <c r="S182" t="s">
        <v>4659</v>
      </c>
      <c r="T182" t="s">
        <v>4660</v>
      </c>
      <c r="V182" t="s">
        <v>1249</v>
      </c>
      <c r="X182">
        <v>1</v>
      </c>
      <c r="Y182" t="s">
        <v>4661</v>
      </c>
      <c r="AH182" t="s">
        <v>359</v>
      </c>
    </row>
    <row r="183" spans="1:34" ht="15.75">
      <c r="A183" s="29">
        <f t="shared" si="2"/>
        <v>6120</v>
      </c>
      <c r="B183" s="8">
        <v>639</v>
      </c>
      <c r="C183" s="2">
        <v>9</v>
      </c>
      <c r="D183" s="2">
        <v>1817</v>
      </c>
      <c r="E183">
        <v>6061</v>
      </c>
      <c r="F183" s="8">
        <v>88</v>
      </c>
      <c r="G183" s="7"/>
      <c r="H183" s="7" t="s">
        <v>850</v>
      </c>
      <c r="I183" s="2">
        <v>0</v>
      </c>
      <c r="J183" s="8">
        <f>281+25</f>
        <v>306</v>
      </c>
      <c r="K183" s="2" t="s">
        <v>884</v>
      </c>
      <c r="L183" s="43" t="s">
        <v>5694</v>
      </c>
      <c r="P183" s="41">
        <v>27</v>
      </c>
      <c r="Q183" s="41">
        <v>10</v>
      </c>
      <c r="R183" s="41" t="s">
        <v>1547</v>
      </c>
      <c r="S183" t="s">
        <v>3329</v>
      </c>
      <c r="X183">
        <v>1</v>
      </c>
      <c r="Y183" t="s">
        <v>4043</v>
      </c>
      <c r="AH183" t="s">
        <v>359</v>
      </c>
    </row>
    <row r="184" spans="1:34" ht="15.75">
      <c r="A184" s="29">
        <f t="shared" si="2"/>
        <v>60000</v>
      </c>
      <c r="B184" s="8">
        <v>644</v>
      </c>
      <c r="C184" s="2">
        <v>9</v>
      </c>
      <c r="D184" s="2">
        <v>1817</v>
      </c>
      <c r="E184">
        <v>6297</v>
      </c>
      <c r="F184" s="8">
        <v>89</v>
      </c>
      <c r="G184" s="7"/>
      <c r="H184" s="7" t="s">
        <v>1540</v>
      </c>
      <c r="I184" s="8">
        <v>0</v>
      </c>
      <c r="J184" s="8">
        <v>3000</v>
      </c>
      <c r="K184" s="8" t="s">
        <v>864</v>
      </c>
      <c r="L184" s="43" t="s">
        <v>553</v>
      </c>
      <c r="M184" s="41" t="s">
        <v>1298</v>
      </c>
      <c r="O184" s="41" t="s">
        <v>555</v>
      </c>
      <c r="P184" s="41">
        <v>25</v>
      </c>
      <c r="Q184" s="41">
        <v>10</v>
      </c>
      <c r="R184" s="41" t="s">
        <v>1547</v>
      </c>
      <c r="S184" t="s">
        <v>554</v>
      </c>
      <c r="T184" t="s">
        <v>556</v>
      </c>
      <c r="V184" t="s">
        <v>1299</v>
      </c>
      <c r="X184">
        <v>1</v>
      </c>
      <c r="Y184" t="s">
        <v>557</v>
      </c>
      <c r="AH184" t="s">
        <v>359</v>
      </c>
    </row>
    <row r="185" spans="1:34" ht="15.75">
      <c r="A185" s="29">
        <f t="shared" si="2"/>
        <v>198722</v>
      </c>
      <c r="B185" s="30">
        <v>560</v>
      </c>
      <c r="C185" s="30">
        <v>1</v>
      </c>
      <c r="D185" s="30">
        <v>1817</v>
      </c>
      <c r="E185">
        <v>11764</v>
      </c>
      <c r="F185" s="30">
        <v>89</v>
      </c>
      <c r="H185" t="s">
        <v>1540</v>
      </c>
      <c r="I185" s="30">
        <f>28572+150</f>
        <v>28722</v>
      </c>
      <c r="J185" s="30">
        <f>5500+3000</f>
        <v>8500</v>
      </c>
      <c r="K185" s="30" t="s">
        <v>864</v>
      </c>
      <c r="L185" s="43" t="s">
        <v>553</v>
      </c>
      <c r="M185" s="41" t="s">
        <v>1248</v>
      </c>
      <c r="N185" s="41" t="s">
        <v>1555</v>
      </c>
      <c r="O185" s="41" t="s">
        <v>56</v>
      </c>
      <c r="P185" s="41">
        <v>25</v>
      </c>
      <c r="Q185" s="41">
        <v>10</v>
      </c>
      <c r="R185" s="41">
        <v>70</v>
      </c>
      <c r="S185" t="s">
        <v>57</v>
      </c>
      <c r="T185" t="s">
        <v>58</v>
      </c>
      <c r="V185" t="s">
        <v>1249</v>
      </c>
      <c r="X185">
        <v>1</v>
      </c>
      <c r="Y185" t="s">
        <v>59</v>
      </c>
      <c r="AH185" t="s">
        <v>359</v>
      </c>
    </row>
    <row r="186" spans="1:34" ht="15.75">
      <c r="A186" s="29">
        <f t="shared" si="2"/>
        <v>260900</v>
      </c>
      <c r="B186" s="8">
        <v>646</v>
      </c>
      <c r="C186" s="2">
        <v>9</v>
      </c>
      <c r="D186" s="2">
        <v>1817</v>
      </c>
      <c r="E186">
        <v>6389</v>
      </c>
      <c r="F186" s="8">
        <v>90</v>
      </c>
      <c r="G186" s="7"/>
      <c r="H186" s="7" t="s">
        <v>1540</v>
      </c>
      <c r="I186" s="8">
        <v>27900</v>
      </c>
      <c r="J186" s="8">
        <f>2750+1000+3600+1800+1800+700</f>
        <v>11650</v>
      </c>
      <c r="K186" s="8" t="s">
        <v>864</v>
      </c>
      <c r="L186" s="43" t="s">
        <v>1250</v>
      </c>
      <c r="M186" s="41" t="s">
        <v>579</v>
      </c>
      <c r="N186" s="41" t="s">
        <v>1251</v>
      </c>
      <c r="O186" s="41" t="s">
        <v>580</v>
      </c>
      <c r="P186" s="41">
        <v>5</v>
      </c>
      <c r="Q186" s="41">
        <v>10</v>
      </c>
      <c r="R186" s="41">
        <v>53</v>
      </c>
      <c r="S186" t="s">
        <v>578</v>
      </c>
      <c r="T186" t="s">
        <v>1511</v>
      </c>
      <c r="V186" t="s">
        <v>4647</v>
      </c>
      <c r="X186">
        <v>1</v>
      </c>
      <c r="Y186" t="s">
        <v>581</v>
      </c>
      <c r="AH186" t="s">
        <v>359</v>
      </c>
    </row>
    <row r="187" spans="1:34" ht="15.75">
      <c r="A187" s="29">
        <f t="shared" si="2"/>
        <v>27500</v>
      </c>
      <c r="B187" s="30">
        <v>562</v>
      </c>
      <c r="C187" s="30">
        <v>1</v>
      </c>
      <c r="D187" s="30">
        <v>1817</v>
      </c>
      <c r="E187">
        <v>11860</v>
      </c>
      <c r="F187" s="30">
        <v>90</v>
      </c>
      <c r="H187" t="s">
        <v>1540</v>
      </c>
      <c r="I187" s="30">
        <v>0</v>
      </c>
      <c r="J187" s="30">
        <v>2750</v>
      </c>
      <c r="K187" s="30" t="s">
        <v>864</v>
      </c>
      <c r="L187" s="43" t="s">
        <v>1250</v>
      </c>
      <c r="M187" s="41" t="s">
        <v>66</v>
      </c>
      <c r="N187" s="41" t="s">
        <v>1251</v>
      </c>
      <c r="O187" s="41" t="s">
        <v>67</v>
      </c>
      <c r="P187" s="41">
        <v>5</v>
      </c>
      <c r="Q187" s="41">
        <v>10</v>
      </c>
      <c r="S187" t="s">
        <v>68</v>
      </c>
      <c r="T187" t="s">
        <v>69</v>
      </c>
      <c r="V187" t="s">
        <v>4647</v>
      </c>
      <c r="X187">
        <v>0.5</v>
      </c>
      <c r="Y187" t="s">
        <v>70</v>
      </c>
      <c r="AH187" t="s">
        <v>359</v>
      </c>
    </row>
    <row r="188" spans="1:34" ht="15.75">
      <c r="A188" s="29">
        <f t="shared" si="2"/>
        <v>18000</v>
      </c>
      <c r="B188" s="8">
        <v>647</v>
      </c>
      <c r="C188" s="8">
        <v>9</v>
      </c>
      <c r="D188" s="2">
        <v>1817</v>
      </c>
      <c r="E188">
        <v>6418</v>
      </c>
      <c r="F188" s="8">
        <v>100</v>
      </c>
      <c r="G188" s="7"/>
      <c r="H188" s="9" t="s">
        <v>1540</v>
      </c>
      <c r="I188" s="8">
        <v>0</v>
      </c>
      <c r="J188" s="8">
        <v>900</v>
      </c>
      <c r="K188" s="8" t="s">
        <v>850</v>
      </c>
      <c r="L188" s="43" t="s">
        <v>619</v>
      </c>
      <c r="M188" s="41" t="s">
        <v>1298</v>
      </c>
      <c r="N188" s="41" t="s">
        <v>620</v>
      </c>
      <c r="O188" s="41" t="s">
        <v>621</v>
      </c>
      <c r="P188" s="41">
        <v>14</v>
      </c>
      <c r="Q188" s="41">
        <v>10</v>
      </c>
      <c r="R188" s="41" t="s">
        <v>1547</v>
      </c>
      <c r="S188" t="s">
        <v>3321</v>
      </c>
      <c r="T188" t="s">
        <v>622</v>
      </c>
      <c r="V188" t="s">
        <v>2973</v>
      </c>
      <c r="X188">
        <v>1</v>
      </c>
      <c r="Y188" t="s">
        <v>623</v>
      </c>
      <c r="AH188" t="s">
        <v>359</v>
      </c>
    </row>
    <row r="189" spans="1:34" ht="15.75">
      <c r="A189" s="29">
        <f t="shared" si="2"/>
        <v>71516</v>
      </c>
      <c r="B189" s="2">
        <v>443</v>
      </c>
      <c r="C189" s="2">
        <v>8</v>
      </c>
      <c r="D189" s="2">
        <v>1817</v>
      </c>
      <c r="E189">
        <v>8247</v>
      </c>
      <c r="F189" s="8">
        <v>100</v>
      </c>
      <c r="H189" s="9" t="s">
        <v>1540</v>
      </c>
      <c r="I189" s="2">
        <f>47133+24383</f>
        <v>71516</v>
      </c>
      <c r="J189" s="2">
        <v>0</v>
      </c>
      <c r="K189" s="2" t="s">
        <v>850</v>
      </c>
      <c r="L189" s="43" t="s">
        <v>619</v>
      </c>
      <c r="M189" s="41" t="s">
        <v>1546</v>
      </c>
      <c r="N189" s="41" t="s">
        <v>4612</v>
      </c>
      <c r="O189" s="41" t="s">
        <v>4613</v>
      </c>
      <c r="P189" s="41">
        <v>14</v>
      </c>
      <c r="Q189" s="41">
        <v>10</v>
      </c>
      <c r="R189" s="41">
        <v>61</v>
      </c>
      <c r="S189" t="s">
        <v>4614</v>
      </c>
      <c r="T189" t="s">
        <v>4615</v>
      </c>
      <c r="V189" t="s">
        <v>4616</v>
      </c>
      <c r="AH189" t="s">
        <v>359</v>
      </c>
    </row>
    <row r="190" spans="1:34" ht="15.75">
      <c r="A190" s="29">
        <f t="shared" si="2"/>
        <v>22800</v>
      </c>
      <c r="B190" s="8">
        <v>744</v>
      </c>
      <c r="C190" s="2">
        <v>3</v>
      </c>
      <c r="D190" s="8">
        <v>1817</v>
      </c>
      <c r="E190">
        <v>9487</v>
      </c>
      <c r="F190" s="8">
        <v>100</v>
      </c>
      <c r="G190" s="7"/>
      <c r="H190" s="9" t="s">
        <v>1540</v>
      </c>
      <c r="I190" s="8">
        <v>0</v>
      </c>
      <c r="J190" s="8">
        <v>1140</v>
      </c>
      <c r="K190" s="8" t="s">
        <v>850</v>
      </c>
      <c r="L190" s="43" t="s">
        <v>619</v>
      </c>
      <c r="M190" s="41" t="s">
        <v>1546</v>
      </c>
      <c r="N190" s="41" t="s">
        <v>4612</v>
      </c>
      <c r="O190" s="41" t="s">
        <v>4613</v>
      </c>
      <c r="P190" s="41">
        <v>14</v>
      </c>
      <c r="Q190" s="41">
        <v>10</v>
      </c>
      <c r="S190" t="s">
        <v>1872</v>
      </c>
      <c r="T190" t="s">
        <v>1873</v>
      </c>
      <c r="V190" t="s">
        <v>3374</v>
      </c>
      <c r="X190">
        <v>1</v>
      </c>
      <c r="Y190" t="s">
        <v>1874</v>
      </c>
      <c r="AH190" t="s">
        <v>359</v>
      </c>
    </row>
    <row r="191" spans="1:34" ht="15.75">
      <c r="A191" s="29">
        <f t="shared" si="2"/>
        <v>12236</v>
      </c>
      <c r="B191" s="6">
        <v>979</v>
      </c>
      <c r="C191">
        <v>5</v>
      </c>
      <c r="D191" s="2">
        <v>1817</v>
      </c>
      <c r="E191">
        <v>501</v>
      </c>
      <c r="F191">
        <v>101</v>
      </c>
      <c r="H191" t="s">
        <v>1541</v>
      </c>
      <c r="I191" s="2">
        <f>11461+775</f>
        <v>12236</v>
      </c>
      <c r="J191" s="2">
        <v>0</v>
      </c>
      <c r="K191" s="2" t="s">
        <v>866</v>
      </c>
      <c r="L191" s="43" t="s">
        <v>5275</v>
      </c>
      <c r="P191" s="41">
        <v>30</v>
      </c>
      <c r="Q191" s="41">
        <v>10</v>
      </c>
      <c r="R191" s="41">
        <v>45</v>
      </c>
      <c r="S191" t="s">
        <v>3321</v>
      </c>
      <c r="AH191" t="s">
        <v>359</v>
      </c>
    </row>
    <row r="192" spans="1:34" ht="15.75">
      <c r="A192" s="29">
        <f t="shared" si="2"/>
        <v>29500</v>
      </c>
      <c r="B192" s="8">
        <v>661</v>
      </c>
      <c r="C192" s="2">
        <v>9</v>
      </c>
      <c r="D192" s="2">
        <v>1817</v>
      </c>
      <c r="E192">
        <v>6926</v>
      </c>
      <c r="F192" s="8">
        <v>101</v>
      </c>
      <c r="G192" s="7"/>
      <c r="H192" s="7" t="s">
        <v>1541</v>
      </c>
      <c r="I192" s="8">
        <v>0</v>
      </c>
      <c r="J192" s="8">
        <f>2250+700</f>
        <v>2950</v>
      </c>
      <c r="K192" s="2" t="s">
        <v>866</v>
      </c>
      <c r="L192" s="43" t="s">
        <v>747</v>
      </c>
      <c r="M192" s="41" t="s">
        <v>749</v>
      </c>
      <c r="O192" s="41" t="s">
        <v>1590</v>
      </c>
      <c r="P192" s="41">
        <v>30</v>
      </c>
      <c r="Q192" s="41">
        <v>10</v>
      </c>
      <c r="R192" s="41" t="s">
        <v>1547</v>
      </c>
      <c r="S192" t="s">
        <v>748</v>
      </c>
      <c r="T192" t="s">
        <v>1274</v>
      </c>
      <c r="V192" t="s">
        <v>1249</v>
      </c>
      <c r="X192">
        <v>0.5</v>
      </c>
      <c r="Y192" t="s">
        <v>750</v>
      </c>
      <c r="AH192" t="s">
        <v>359</v>
      </c>
    </row>
    <row r="193" spans="1:34" ht="15.75">
      <c r="A193" s="29">
        <f t="shared" si="2"/>
        <v>4559</v>
      </c>
      <c r="B193" s="6">
        <v>984</v>
      </c>
      <c r="C193">
        <v>5</v>
      </c>
      <c r="D193" s="2">
        <v>1817</v>
      </c>
      <c r="E193">
        <v>552</v>
      </c>
      <c r="F193">
        <v>102</v>
      </c>
      <c r="H193" t="s">
        <v>1541</v>
      </c>
      <c r="I193" s="2">
        <f>1469+3090</f>
        <v>4559</v>
      </c>
      <c r="J193" s="2">
        <v>0</v>
      </c>
      <c r="K193" s="2" t="s">
        <v>867</v>
      </c>
      <c r="L193" s="43" t="s">
        <v>5546</v>
      </c>
      <c r="P193" s="41">
        <v>23</v>
      </c>
      <c r="Q193" s="41">
        <v>10</v>
      </c>
      <c r="R193" s="41">
        <v>45</v>
      </c>
      <c r="S193" t="s">
        <v>3321</v>
      </c>
      <c r="AH193" t="s">
        <v>359</v>
      </c>
    </row>
    <row r="194" spans="1:34" ht="15.75">
      <c r="A194" s="29">
        <f aca="true" t="shared" si="3" ref="A194:A257">I194+J194*20*X194</f>
        <v>100000</v>
      </c>
      <c r="B194" s="2">
        <v>457</v>
      </c>
      <c r="C194" s="2">
        <v>8</v>
      </c>
      <c r="D194" s="2">
        <v>1817</v>
      </c>
      <c r="E194">
        <v>8735</v>
      </c>
      <c r="F194" s="2">
        <v>102</v>
      </c>
      <c r="H194" t="s">
        <v>1541</v>
      </c>
      <c r="I194" s="2">
        <v>0</v>
      </c>
      <c r="J194" s="2">
        <v>5000</v>
      </c>
      <c r="K194" s="2" t="s">
        <v>867</v>
      </c>
      <c r="L194" s="43" t="s">
        <v>5546</v>
      </c>
      <c r="M194" s="41" t="s">
        <v>5547</v>
      </c>
      <c r="N194" s="41" t="s">
        <v>5548</v>
      </c>
      <c r="O194" s="41" t="s">
        <v>5549</v>
      </c>
      <c r="P194" s="41">
        <v>25</v>
      </c>
      <c r="Q194" s="41">
        <v>10</v>
      </c>
      <c r="S194" t="s">
        <v>5550</v>
      </c>
      <c r="T194" t="s">
        <v>5551</v>
      </c>
      <c r="V194" t="s">
        <v>4985</v>
      </c>
      <c r="X194">
        <v>1</v>
      </c>
      <c r="Y194" t="s">
        <v>5552</v>
      </c>
      <c r="AH194" t="s">
        <v>359</v>
      </c>
    </row>
    <row r="195" spans="1:34" ht="15.75">
      <c r="A195" s="29">
        <f t="shared" si="3"/>
        <v>3530</v>
      </c>
      <c r="B195" s="2">
        <v>458</v>
      </c>
      <c r="C195" s="2">
        <v>8</v>
      </c>
      <c r="D195" s="2">
        <v>1817</v>
      </c>
      <c r="E195">
        <v>8749</v>
      </c>
      <c r="F195" s="2">
        <v>103</v>
      </c>
      <c r="H195" t="s">
        <v>1540</v>
      </c>
      <c r="I195">
        <f>3130+400</f>
        <v>3530</v>
      </c>
      <c r="J195" s="2">
        <v>0</v>
      </c>
      <c r="K195" s="2" t="s">
        <v>867</v>
      </c>
      <c r="L195" s="43" t="s">
        <v>2041</v>
      </c>
      <c r="P195" s="41">
        <v>31</v>
      </c>
      <c r="Q195" s="41">
        <v>10</v>
      </c>
      <c r="R195" s="41" t="s">
        <v>868</v>
      </c>
      <c r="S195" t="s">
        <v>3321</v>
      </c>
      <c r="AH195" t="s">
        <v>359</v>
      </c>
    </row>
    <row r="196" spans="1:34" ht="15.75">
      <c r="A196" s="29">
        <f t="shared" si="3"/>
        <v>8000</v>
      </c>
      <c r="B196" s="8">
        <v>760</v>
      </c>
      <c r="C196" s="2">
        <v>3</v>
      </c>
      <c r="D196" s="8">
        <v>1817</v>
      </c>
      <c r="E196">
        <v>9651</v>
      </c>
      <c r="F196" s="8">
        <v>103</v>
      </c>
      <c r="G196" s="7"/>
      <c r="H196" s="9" t="s">
        <v>1540</v>
      </c>
      <c r="I196" s="8">
        <v>0</v>
      </c>
      <c r="J196" s="8">
        <v>400</v>
      </c>
      <c r="K196" s="2" t="s">
        <v>867</v>
      </c>
      <c r="L196" s="43" t="s">
        <v>2041</v>
      </c>
      <c r="M196" s="41" t="s">
        <v>2042</v>
      </c>
      <c r="N196" s="41" t="s">
        <v>2043</v>
      </c>
      <c r="O196" s="41" t="s">
        <v>2044</v>
      </c>
      <c r="P196" s="41">
        <v>31</v>
      </c>
      <c r="Q196" s="41">
        <v>10</v>
      </c>
      <c r="S196" t="s">
        <v>2792</v>
      </c>
      <c r="T196" t="s">
        <v>2045</v>
      </c>
      <c r="V196" t="s">
        <v>2505</v>
      </c>
      <c r="X196">
        <v>1</v>
      </c>
      <c r="Y196" t="s">
        <v>2046</v>
      </c>
      <c r="AH196" t="s">
        <v>359</v>
      </c>
    </row>
    <row r="197" spans="1:34" ht="15.75">
      <c r="A197" s="29">
        <f t="shared" si="3"/>
        <v>1860</v>
      </c>
      <c r="B197" s="15">
        <v>876</v>
      </c>
      <c r="C197" s="15">
        <v>6</v>
      </c>
      <c r="D197" s="2">
        <v>1817</v>
      </c>
      <c r="E197">
        <v>5059</v>
      </c>
      <c r="F197" s="15">
        <v>104</v>
      </c>
      <c r="G197" s="15"/>
      <c r="H197" s="15" t="s">
        <v>1541</v>
      </c>
      <c r="I197" s="15">
        <v>1860</v>
      </c>
      <c r="J197" s="15">
        <v>0</v>
      </c>
      <c r="K197" s="15" t="s">
        <v>870</v>
      </c>
      <c r="L197" s="43" t="s">
        <v>5652</v>
      </c>
      <c r="P197" s="41">
        <v>1</v>
      </c>
      <c r="Q197" s="41">
        <v>10</v>
      </c>
      <c r="R197" s="41" t="s">
        <v>868</v>
      </c>
      <c r="S197" t="s">
        <v>3321</v>
      </c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t="s">
        <v>359</v>
      </c>
    </row>
    <row r="198" spans="1:34" ht="15.75">
      <c r="A198" s="29">
        <f t="shared" si="3"/>
        <v>24000</v>
      </c>
      <c r="B198" s="8">
        <v>462</v>
      </c>
      <c r="C198" s="2">
        <v>8</v>
      </c>
      <c r="D198" s="2">
        <v>1817</v>
      </c>
      <c r="E198">
        <v>8909</v>
      </c>
      <c r="F198" s="8">
        <v>104</v>
      </c>
      <c r="G198" s="9"/>
      <c r="H198" s="9" t="s">
        <v>1541</v>
      </c>
      <c r="I198" s="8">
        <v>0</v>
      </c>
      <c r="J198" s="8">
        <v>1200</v>
      </c>
      <c r="K198" s="8" t="s">
        <v>870</v>
      </c>
      <c r="L198" s="43" t="s">
        <v>5652</v>
      </c>
      <c r="M198" s="43" t="s">
        <v>1542</v>
      </c>
      <c r="N198" s="43"/>
      <c r="O198" s="43" t="s">
        <v>5653</v>
      </c>
      <c r="P198" s="43">
        <v>1</v>
      </c>
      <c r="Q198" s="43">
        <v>10</v>
      </c>
      <c r="R198" s="43"/>
      <c r="S198" t="s">
        <v>5654</v>
      </c>
      <c r="T198" t="s">
        <v>5655</v>
      </c>
      <c r="V198" t="s">
        <v>1408</v>
      </c>
      <c r="X198">
        <v>1</v>
      </c>
      <c r="Y198" t="s">
        <v>5656</v>
      </c>
      <c r="AH198" t="s">
        <v>359</v>
      </c>
    </row>
    <row r="199" spans="1:34" ht="15.75">
      <c r="A199" s="29">
        <f t="shared" si="3"/>
        <v>73118</v>
      </c>
      <c r="B199" s="2">
        <v>672</v>
      </c>
      <c r="C199" s="2">
        <v>9</v>
      </c>
      <c r="D199" s="2">
        <v>1817</v>
      </c>
      <c r="E199">
        <v>7356</v>
      </c>
      <c r="F199" s="2">
        <v>105</v>
      </c>
      <c r="G199" s="1"/>
      <c r="H199" t="s">
        <v>1540</v>
      </c>
      <c r="I199" s="1">
        <v>14698</v>
      </c>
      <c r="J199" s="1">
        <v>2921</v>
      </c>
      <c r="K199" s="1" t="s">
        <v>871</v>
      </c>
      <c r="L199" s="43" t="s">
        <v>5170</v>
      </c>
      <c r="M199" s="41" t="s">
        <v>1512</v>
      </c>
      <c r="N199" s="41" t="s">
        <v>5177</v>
      </c>
      <c r="O199" s="41" t="s">
        <v>5178</v>
      </c>
      <c r="P199" s="41">
        <v>9</v>
      </c>
      <c r="Q199" s="41">
        <v>10</v>
      </c>
      <c r="R199" s="41" t="s">
        <v>1547</v>
      </c>
      <c r="S199" t="s">
        <v>5176</v>
      </c>
      <c r="T199" t="s">
        <v>1392</v>
      </c>
      <c r="V199" t="s">
        <v>1800</v>
      </c>
      <c r="X199">
        <v>1</v>
      </c>
      <c r="Y199" t="s">
        <v>5179</v>
      </c>
      <c r="AH199" t="s">
        <v>359</v>
      </c>
    </row>
    <row r="200" spans="1:34" ht="15.75">
      <c r="A200" s="29">
        <f t="shared" si="3"/>
        <v>1222.857142857143</v>
      </c>
      <c r="B200" s="31">
        <v>582</v>
      </c>
      <c r="C200" s="31">
        <v>1</v>
      </c>
      <c r="D200" s="31">
        <v>1817</v>
      </c>
      <c r="E200">
        <v>12510</v>
      </c>
      <c r="F200" s="31">
        <v>105</v>
      </c>
      <c r="G200" s="32"/>
      <c r="H200" s="9" t="s">
        <v>1540</v>
      </c>
      <c r="I200" s="31">
        <v>0</v>
      </c>
      <c r="J200" s="31">
        <v>428</v>
      </c>
      <c r="K200" s="30" t="s">
        <v>871</v>
      </c>
      <c r="L200" s="43" t="s">
        <v>5695</v>
      </c>
      <c r="P200" s="41">
        <v>9</v>
      </c>
      <c r="Q200" s="41">
        <v>10</v>
      </c>
      <c r="R200" s="41" t="s">
        <v>1547</v>
      </c>
      <c r="S200" t="s">
        <v>3321</v>
      </c>
      <c r="X200">
        <f>1/7</f>
        <v>0.14285714285714285</v>
      </c>
      <c r="AH200" t="s">
        <v>359</v>
      </c>
    </row>
    <row r="201" spans="1:34" ht="15.75">
      <c r="A201" s="29">
        <f t="shared" si="3"/>
        <v>10000</v>
      </c>
      <c r="B201" s="6">
        <v>1002</v>
      </c>
      <c r="C201">
        <v>5</v>
      </c>
      <c r="D201" s="2">
        <v>1817</v>
      </c>
      <c r="E201">
        <v>678</v>
      </c>
      <c r="F201" s="30">
        <v>106</v>
      </c>
      <c r="H201" t="s">
        <v>1549</v>
      </c>
      <c r="I201" s="2">
        <v>0</v>
      </c>
      <c r="J201" s="2">
        <v>500</v>
      </c>
      <c r="K201" s="2" t="s">
        <v>872</v>
      </c>
      <c r="L201" s="43" t="s">
        <v>880</v>
      </c>
      <c r="P201" s="41">
        <v>6</v>
      </c>
      <c r="Q201" s="41">
        <v>10</v>
      </c>
      <c r="R201" s="41">
        <v>17</v>
      </c>
      <c r="S201" t="s">
        <v>3321</v>
      </c>
      <c r="X201" s="47">
        <v>1</v>
      </c>
      <c r="AH201" t="s">
        <v>359</v>
      </c>
    </row>
    <row r="202" spans="1:34" ht="15.75">
      <c r="A202" s="29">
        <f t="shared" si="3"/>
        <v>51120</v>
      </c>
      <c r="B202" s="8">
        <v>675</v>
      </c>
      <c r="C202" s="2">
        <v>9</v>
      </c>
      <c r="D202" s="2">
        <v>1817</v>
      </c>
      <c r="E202">
        <v>7481</v>
      </c>
      <c r="F202" s="30">
        <v>106</v>
      </c>
      <c r="G202" s="7"/>
      <c r="H202" s="7" t="s">
        <v>1540</v>
      </c>
      <c r="I202" s="8">
        <v>0</v>
      </c>
      <c r="J202" s="8">
        <v>5112</v>
      </c>
      <c r="K202" s="2" t="s">
        <v>872</v>
      </c>
      <c r="L202" s="43" t="s">
        <v>880</v>
      </c>
      <c r="M202" s="41" t="s">
        <v>5316</v>
      </c>
      <c r="N202" s="41" t="s">
        <v>1555</v>
      </c>
      <c r="O202" s="41" t="s">
        <v>5208</v>
      </c>
      <c r="P202" s="41">
        <v>6</v>
      </c>
      <c r="Q202" s="41">
        <v>10</v>
      </c>
      <c r="R202" s="41" t="s">
        <v>1547</v>
      </c>
      <c r="S202" t="s">
        <v>2180</v>
      </c>
      <c r="T202" t="s">
        <v>1511</v>
      </c>
      <c r="V202" t="s">
        <v>1301</v>
      </c>
      <c r="X202">
        <v>0.5</v>
      </c>
      <c r="Y202" t="s">
        <v>5209</v>
      </c>
      <c r="AH202" t="s">
        <v>359</v>
      </c>
    </row>
    <row r="203" spans="1:34" ht="15.75">
      <c r="A203" s="29">
        <f t="shared" si="3"/>
        <v>217128</v>
      </c>
      <c r="B203" s="8">
        <v>771</v>
      </c>
      <c r="C203" s="8">
        <v>3</v>
      </c>
      <c r="D203" s="8">
        <v>1817</v>
      </c>
      <c r="E203">
        <v>9741</v>
      </c>
      <c r="F203" s="30">
        <v>106</v>
      </c>
      <c r="G203" s="7"/>
      <c r="H203" s="9" t="s">
        <v>1540</v>
      </c>
      <c r="I203" s="8">
        <v>167628</v>
      </c>
      <c r="J203" s="8">
        <f>3000+500+500+500+450</f>
        <v>4950</v>
      </c>
      <c r="K203" s="2" t="s">
        <v>872</v>
      </c>
      <c r="L203" s="43" t="s">
        <v>880</v>
      </c>
      <c r="M203" s="41" t="s">
        <v>5316</v>
      </c>
      <c r="N203" s="41" t="s">
        <v>4004</v>
      </c>
      <c r="O203" s="41" t="s">
        <v>2179</v>
      </c>
      <c r="P203" s="41">
        <v>6</v>
      </c>
      <c r="Q203" s="41">
        <v>10</v>
      </c>
      <c r="R203" s="41">
        <v>66</v>
      </c>
      <c r="S203" t="s">
        <v>2180</v>
      </c>
      <c r="T203" t="s">
        <v>4645</v>
      </c>
      <c r="X203">
        <v>0.5</v>
      </c>
      <c r="Y203" t="s">
        <v>2181</v>
      </c>
      <c r="AH203" t="s">
        <v>359</v>
      </c>
    </row>
    <row r="204" spans="1:34" ht="15.75">
      <c r="A204" s="29">
        <f t="shared" si="3"/>
        <v>24500</v>
      </c>
      <c r="B204" s="30">
        <v>585</v>
      </c>
      <c r="C204" s="30">
        <v>1</v>
      </c>
      <c r="D204" s="30">
        <v>1817</v>
      </c>
      <c r="E204">
        <v>12601</v>
      </c>
      <c r="F204" s="30">
        <v>106</v>
      </c>
      <c r="G204" s="29"/>
      <c r="H204" t="s">
        <v>1549</v>
      </c>
      <c r="I204" s="30">
        <v>0</v>
      </c>
      <c r="J204" s="30">
        <f>1500+950</f>
        <v>2450</v>
      </c>
      <c r="K204" s="30" t="s">
        <v>872</v>
      </c>
      <c r="L204" s="43" t="s">
        <v>880</v>
      </c>
      <c r="M204" s="41" t="s">
        <v>5316</v>
      </c>
      <c r="N204" s="41" t="s">
        <v>4004</v>
      </c>
      <c r="O204" s="41" t="s">
        <v>5208</v>
      </c>
      <c r="P204" s="41">
        <v>6</v>
      </c>
      <c r="Q204" s="41">
        <v>10</v>
      </c>
      <c r="S204" t="s">
        <v>2180</v>
      </c>
      <c r="T204" t="s">
        <v>319</v>
      </c>
      <c r="V204" t="s">
        <v>3365</v>
      </c>
      <c r="X204">
        <v>0.5</v>
      </c>
      <c r="Y204" t="s">
        <v>320</v>
      </c>
      <c r="AH204" t="s">
        <v>359</v>
      </c>
    </row>
    <row r="205" spans="1:34" ht="15.75">
      <c r="A205" s="29">
        <f t="shared" si="3"/>
        <v>14000</v>
      </c>
      <c r="B205" s="15">
        <v>891</v>
      </c>
      <c r="C205" s="15">
        <v>6</v>
      </c>
      <c r="D205" s="2">
        <v>1817</v>
      </c>
      <c r="E205">
        <v>5488</v>
      </c>
      <c r="F205" s="15">
        <v>107</v>
      </c>
      <c r="G205" s="15"/>
      <c r="H205" s="15" t="s">
        <v>1541</v>
      </c>
      <c r="I205" s="15">
        <v>0</v>
      </c>
      <c r="J205" s="15">
        <v>1400</v>
      </c>
      <c r="K205" s="15" t="s">
        <v>873</v>
      </c>
      <c r="L205" s="43" t="s">
        <v>3832</v>
      </c>
      <c r="M205" s="41" t="s">
        <v>3833</v>
      </c>
      <c r="N205" s="41" t="s">
        <v>1545</v>
      </c>
      <c r="O205" s="41" t="s">
        <v>3834</v>
      </c>
      <c r="P205" s="41">
        <v>6</v>
      </c>
      <c r="Q205" s="41">
        <v>10</v>
      </c>
      <c r="R205" s="41" t="s">
        <v>1547</v>
      </c>
      <c r="S205" s="15" t="s">
        <v>3835</v>
      </c>
      <c r="T205" s="15" t="s">
        <v>1263</v>
      </c>
      <c r="U205" s="15"/>
      <c r="V205" s="15" t="s">
        <v>896</v>
      </c>
      <c r="W205" s="15"/>
      <c r="X205" s="15">
        <v>0.5</v>
      </c>
      <c r="Y205" s="20" t="s">
        <v>3836</v>
      </c>
      <c r="Z205" s="15"/>
      <c r="AA205" s="15"/>
      <c r="AB205" s="15"/>
      <c r="AC205" s="15"/>
      <c r="AD205" s="15"/>
      <c r="AE205" s="15"/>
      <c r="AF205" s="15"/>
      <c r="AG205" s="15"/>
      <c r="AH205" t="s">
        <v>359</v>
      </c>
    </row>
    <row r="206" spans="1:34" ht="15.75">
      <c r="A206" s="29">
        <f t="shared" si="3"/>
        <v>29142</v>
      </c>
      <c r="B206" s="8">
        <v>677</v>
      </c>
      <c r="C206" s="2">
        <v>9</v>
      </c>
      <c r="D206" s="2">
        <v>1817</v>
      </c>
      <c r="E206">
        <v>7537</v>
      </c>
      <c r="F206" s="8">
        <v>107</v>
      </c>
      <c r="G206" s="7"/>
      <c r="H206" s="7" t="s">
        <v>1541</v>
      </c>
      <c r="I206" s="8">
        <v>15142</v>
      </c>
      <c r="J206" s="8">
        <v>1400</v>
      </c>
      <c r="K206" s="2" t="s">
        <v>873</v>
      </c>
      <c r="L206" s="43" t="s">
        <v>3832</v>
      </c>
      <c r="M206" s="41" t="s">
        <v>856</v>
      </c>
      <c r="N206" s="41" t="s">
        <v>1555</v>
      </c>
      <c r="O206" s="41" t="s">
        <v>5223</v>
      </c>
      <c r="P206" s="41">
        <v>6</v>
      </c>
      <c r="Q206" s="41">
        <v>10</v>
      </c>
      <c r="R206" s="41">
        <v>66</v>
      </c>
      <c r="T206" t="s">
        <v>882</v>
      </c>
      <c r="V206" t="s">
        <v>896</v>
      </c>
      <c r="X206">
        <v>0.5</v>
      </c>
      <c r="Y206" t="s">
        <v>5224</v>
      </c>
      <c r="AH206" t="s">
        <v>359</v>
      </c>
    </row>
    <row r="207" spans="1:34" ht="15.75">
      <c r="A207" s="29">
        <f t="shared" si="3"/>
        <v>3740</v>
      </c>
      <c r="B207" s="2">
        <v>678</v>
      </c>
      <c r="C207" s="2">
        <v>9</v>
      </c>
      <c r="D207" s="2">
        <v>1817</v>
      </c>
      <c r="E207">
        <v>7570</v>
      </c>
      <c r="F207" s="2">
        <v>108</v>
      </c>
      <c r="G207" s="1"/>
      <c r="H207" s="1" t="s">
        <v>850</v>
      </c>
      <c r="I207" s="2">
        <v>0</v>
      </c>
      <c r="J207" s="2">
        <v>187</v>
      </c>
      <c r="K207" s="8" t="s">
        <v>874</v>
      </c>
      <c r="L207" s="43" t="s">
        <v>2223</v>
      </c>
      <c r="O207" s="41" t="s">
        <v>934</v>
      </c>
      <c r="P207" s="41">
        <v>23</v>
      </c>
      <c r="Q207" s="41">
        <v>10</v>
      </c>
      <c r="R207" s="41" t="s">
        <v>1547</v>
      </c>
      <c r="S207" t="s">
        <v>3321</v>
      </c>
      <c r="X207">
        <v>1</v>
      </c>
      <c r="Y207" t="s">
        <v>935</v>
      </c>
      <c r="AH207" t="s">
        <v>359</v>
      </c>
    </row>
    <row r="208" spans="1:34" ht="15.75">
      <c r="A208" s="29">
        <f t="shared" si="3"/>
        <v>3740</v>
      </c>
      <c r="B208" s="8">
        <v>775</v>
      </c>
      <c r="C208" s="8">
        <v>3</v>
      </c>
      <c r="D208" s="8">
        <v>1817</v>
      </c>
      <c r="E208">
        <v>9800</v>
      </c>
      <c r="F208" s="8">
        <v>108</v>
      </c>
      <c r="G208" s="7"/>
      <c r="H208" s="9" t="s">
        <v>1540</v>
      </c>
      <c r="I208" s="8">
        <v>0</v>
      </c>
      <c r="J208" s="8">
        <f>137+50</f>
        <v>187</v>
      </c>
      <c r="K208" s="8" t="s">
        <v>874</v>
      </c>
      <c r="L208" s="43" t="s">
        <v>2223</v>
      </c>
      <c r="M208" s="41" t="s">
        <v>1857</v>
      </c>
      <c r="O208" s="41" t="s">
        <v>2224</v>
      </c>
      <c r="P208" s="41">
        <v>28</v>
      </c>
      <c r="Q208" s="41">
        <v>10</v>
      </c>
      <c r="S208" t="s">
        <v>3492</v>
      </c>
      <c r="T208" t="s">
        <v>3493</v>
      </c>
      <c r="V208" t="s">
        <v>4654</v>
      </c>
      <c r="X208">
        <v>1</v>
      </c>
      <c r="Y208" t="s">
        <v>3494</v>
      </c>
      <c r="AH208" t="s">
        <v>359</v>
      </c>
    </row>
    <row r="209" spans="1:34" ht="15.75">
      <c r="A209" s="29">
        <f t="shared" si="3"/>
        <v>11000</v>
      </c>
      <c r="B209" s="6">
        <v>950</v>
      </c>
      <c r="C209">
        <v>5</v>
      </c>
      <c r="D209" s="2">
        <v>1817</v>
      </c>
      <c r="E209">
        <v>194</v>
      </c>
      <c r="F209">
        <v>109</v>
      </c>
      <c r="H209" t="s">
        <v>1540</v>
      </c>
      <c r="I209" s="2">
        <v>0</v>
      </c>
      <c r="J209" s="2">
        <v>1100</v>
      </c>
      <c r="K209" s="2" t="s">
        <v>884</v>
      </c>
      <c r="L209" s="43" t="s">
        <v>3070</v>
      </c>
      <c r="M209" s="41" t="s">
        <v>4783</v>
      </c>
      <c r="O209" s="41" t="s">
        <v>3071</v>
      </c>
      <c r="P209" s="41">
        <v>22</v>
      </c>
      <c r="Q209" s="41">
        <v>11</v>
      </c>
      <c r="R209" s="41" t="s">
        <v>1199</v>
      </c>
      <c r="V209" t="s">
        <v>3558</v>
      </c>
      <c r="X209">
        <v>0.5</v>
      </c>
      <c r="Y209" t="s">
        <v>3608</v>
      </c>
      <c r="AH209" t="s">
        <v>359</v>
      </c>
    </row>
    <row r="210" spans="1:34" ht="15.75">
      <c r="A210" s="29">
        <f t="shared" si="3"/>
        <v>10960</v>
      </c>
      <c r="B210" s="2">
        <v>737</v>
      </c>
      <c r="C210" s="2">
        <v>3</v>
      </c>
      <c r="D210" s="2">
        <v>1817</v>
      </c>
      <c r="E210">
        <v>9400</v>
      </c>
      <c r="F210" s="2">
        <v>109</v>
      </c>
      <c r="G210" s="1"/>
      <c r="H210" t="s">
        <v>1540</v>
      </c>
      <c r="I210" s="2">
        <v>10960</v>
      </c>
      <c r="J210" s="2">
        <v>0</v>
      </c>
      <c r="K210" s="2" t="s">
        <v>884</v>
      </c>
      <c r="L210" s="43" t="s">
        <v>3070</v>
      </c>
      <c r="P210" s="41">
        <v>22</v>
      </c>
      <c r="Q210" s="41">
        <v>11</v>
      </c>
      <c r="R210" s="41">
        <v>57</v>
      </c>
      <c r="S210" t="s">
        <v>3321</v>
      </c>
      <c r="AH210" t="s">
        <v>359</v>
      </c>
    </row>
    <row r="211" spans="1:34" ht="15.75">
      <c r="A211" s="29">
        <f t="shared" si="3"/>
        <v>1935</v>
      </c>
      <c r="B211" s="2">
        <v>642</v>
      </c>
      <c r="C211" s="2">
        <v>9</v>
      </c>
      <c r="D211" s="2">
        <v>1817</v>
      </c>
      <c r="E211">
        <v>6217</v>
      </c>
      <c r="F211" s="2">
        <v>110</v>
      </c>
      <c r="G211" s="1"/>
      <c r="H211" s="1" t="s">
        <v>1541</v>
      </c>
      <c r="I211" s="2">
        <v>0</v>
      </c>
      <c r="J211" s="2">
        <v>387</v>
      </c>
      <c r="K211" s="8" t="s">
        <v>864</v>
      </c>
      <c r="L211" s="43" t="s">
        <v>8</v>
      </c>
      <c r="O211" s="41" t="s">
        <v>1774</v>
      </c>
      <c r="P211" s="41">
        <v>11</v>
      </c>
      <c r="Q211" s="41">
        <v>11</v>
      </c>
      <c r="R211" s="41" t="s">
        <v>1199</v>
      </c>
      <c r="S211" t="s">
        <v>3321</v>
      </c>
      <c r="X211">
        <v>0.25</v>
      </c>
      <c r="Y211" t="s">
        <v>1775</v>
      </c>
      <c r="AH211" t="s">
        <v>359</v>
      </c>
    </row>
    <row r="212" spans="1:34" ht="15.75">
      <c r="A212" s="29">
        <f t="shared" si="3"/>
        <v>34214</v>
      </c>
      <c r="B212" s="30">
        <v>558</v>
      </c>
      <c r="C212" s="30">
        <v>1</v>
      </c>
      <c r="D212" s="30">
        <v>1817</v>
      </c>
      <c r="E212">
        <v>11704</v>
      </c>
      <c r="F212" s="30">
        <v>110</v>
      </c>
      <c r="H212" t="s">
        <v>1541</v>
      </c>
      <c r="I212" s="30">
        <v>34214</v>
      </c>
      <c r="J212" s="30">
        <v>0</v>
      </c>
      <c r="K212" s="30" t="s">
        <v>864</v>
      </c>
      <c r="L212" s="43" t="s">
        <v>8</v>
      </c>
      <c r="M212" s="41" t="s">
        <v>9</v>
      </c>
      <c r="O212" s="41" t="s">
        <v>10</v>
      </c>
      <c r="P212" s="41">
        <v>11</v>
      </c>
      <c r="Q212" s="41">
        <v>11</v>
      </c>
      <c r="R212" s="41">
        <v>38</v>
      </c>
      <c r="S212" t="s">
        <v>11</v>
      </c>
      <c r="T212" t="s">
        <v>12</v>
      </c>
      <c r="V212" t="s">
        <v>3372</v>
      </c>
      <c r="AH212" t="s">
        <v>359</v>
      </c>
    </row>
    <row r="213" spans="1:34" ht="15.75">
      <c r="A213" s="29">
        <f t="shared" si="3"/>
        <v>98442</v>
      </c>
      <c r="B213" s="15">
        <v>851</v>
      </c>
      <c r="C213" s="2">
        <v>6</v>
      </c>
      <c r="D213" s="2">
        <v>1817</v>
      </c>
      <c r="E213">
        <v>4087</v>
      </c>
      <c r="F213" s="15">
        <v>111</v>
      </c>
      <c r="G213" s="15"/>
      <c r="H213" t="s">
        <v>1549</v>
      </c>
      <c r="I213" s="15">
        <v>70442</v>
      </c>
      <c r="J213" s="15">
        <v>1400</v>
      </c>
      <c r="K213" s="15" t="s">
        <v>850</v>
      </c>
      <c r="L213" s="43" t="s">
        <v>2473</v>
      </c>
      <c r="M213" s="41" t="s">
        <v>716</v>
      </c>
      <c r="N213" s="41" t="s">
        <v>966</v>
      </c>
      <c r="O213" s="41" t="s">
        <v>2474</v>
      </c>
      <c r="P213" s="41">
        <v>6</v>
      </c>
      <c r="Q213" s="41">
        <v>11</v>
      </c>
      <c r="R213" s="41" t="s">
        <v>868</v>
      </c>
      <c r="S213" t="s">
        <v>3321</v>
      </c>
      <c r="T213" s="15" t="s">
        <v>969</v>
      </c>
      <c r="V213" s="15" t="s">
        <v>2475</v>
      </c>
      <c r="W213" s="15"/>
      <c r="X213" s="15">
        <v>1</v>
      </c>
      <c r="Y213" s="15" t="s">
        <v>2476</v>
      </c>
      <c r="Z213" s="15"/>
      <c r="AA213" s="15" t="s">
        <v>2477</v>
      </c>
      <c r="AB213" s="15"/>
      <c r="AC213" s="15"/>
      <c r="AD213" s="15"/>
      <c r="AE213" s="15"/>
      <c r="AF213" s="15"/>
      <c r="AG213" s="15"/>
      <c r="AH213" t="s">
        <v>359</v>
      </c>
    </row>
    <row r="214" spans="1:34" ht="15.75">
      <c r="A214" s="29">
        <f t="shared" si="3"/>
        <v>166000</v>
      </c>
      <c r="B214" s="2">
        <v>444</v>
      </c>
      <c r="C214" s="2">
        <v>8</v>
      </c>
      <c r="D214" s="2">
        <v>1817</v>
      </c>
      <c r="E214">
        <v>8281</v>
      </c>
      <c r="F214" s="2">
        <v>111</v>
      </c>
      <c r="H214" t="s">
        <v>1540</v>
      </c>
      <c r="I214" s="2">
        <v>0</v>
      </c>
      <c r="J214" s="2">
        <f>6000+2300</f>
        <v>8300</v>
      </c>
      <c r="K214" s="2" t="s">
        <v>850</v>
      </c>
      <c r="L214" s="43" t="s">
        <v>2237</v>
      </c>
      <c r="M214" s="41" t="s">
        <v>3155</v>
      </c>
      <c r="N214" s="41" t="s">
        <v>1555</v>
      </c>
      <c r="O214" s="41" t="s">
        <v>2238</v>
      </c>
      <c r="P214" s="41">
        <v>6</v>
      </c>
      <c r="Q214" s="41">
        <v>11</v>
      </c>
      <c r="S214" t="s">
        <v>2239</v>
      </c>
      <c r="T214" t="s">
        <v>3156</v>
      </c>
      <c r="V214" t="s">
        <v>4370</v>
      </c>
      <c r="X214">
        <v>1</v>
      </c>
      <c r="Y214" t="s">
        <v>2240</v>
      </c>
      <c r="AH214" t="s">
        <v>359</v>
      </c>
    </row>
    <row r="215" spans="1:34" ht="15.75">
      <c r="A215" s="29">
        <f t="shared" si="3"/>
        <v>120000</v>
      </c>
      <c r="B215" s="30">
        <v>564</v>
      </c>
      <c r="C215" s="30">
        <v>1</v>
      </c>
      <c r="D215" s="30">
        <v>1817</v>
      </c>
      <c r="E215">
        <v>11919</v>
      </c>
      <c r="F215" s="30">
        <v>111</v>
      </c>
      <c r="H215" t="s">
        <v>1549</v>
      </c>
      <c r="I215" s="29">
        <v>0</v>
      </c>
      <c r="J215" s="29">
        <v>6000</v>
      </c>
      <c r="K215" s="30" t="s">
        <v>865</v>
      </c>
      <c r="L215" s="43" t="s">
        <v>2237</v>
      </c>
      <c r="M215" s="41" t="s">
        <v>3155</v>
      </c>
      <c r="O215" s="41" t="s">
        <v>93</v>
      </c>
      <c r="P215" s="41">
        <v>6</v>
      </c>
      <c r="Q215" s="41">
        <v>11</v>
      </c>
      <c r="S215" t="s">
        <v>1709</v>
      </c>
      <c r="T215" t="s">
        <v>1262</v>
      </c>
      <c r="V215" t="s">
        <v>1800</v>
      </c>
      <c r="X215">
        <v>1</v>
      </c>
      <c r="Y215" t="s">
        <v>94</v>
      </c>
      <c r="AH215" t="s">
        <v>359</v>
      </c>
    </row>
    <row r="216" spans="1:34" ht="15.75">
      <c r="A216" s="29">
        <f t="shared" si="3"/>
        <v>73469</v>
      </c>
      <c r="B216" s="2">
        <v>464</v>
      </c>
      <c r="C216" s="2">
        <v>8</v>
      </c>
      <c r="D216" s="2">
        <v>1817</v>
      </c>
      <c r="E216">
        <v>8994</v>
      </c>
      <c r="F216" s="2">
        <v>112</v>
      </c>
      <c r="H216" t="s">
        <v>1541</v>
      </c>
      <c r="I216" s="2">
        <v>73469</v>
      </c>
      <c r="J216" s="2">
        <v>0</v>
      </c>
      <c r="K216" s="8" t="s">
        <v>870</v>
      </c>
      <c r="L216" s="43" t="s">
        <v>2500</v>
      </c>
      <c r="M216" s="41" t="s">
        <v>2501</v>
      </c>
      <c r="O216" s="41" t="s">
        <v>2502</v>
      </c>
      <c r="P216" s="41">
        <v>10</v>
      </c>
      <c r="Q216" s="41">
        <v>11</v>
      </c>
      <c r="R216" s="41">
        <v>56</v>
      </c>
      <c r="S216" t="s">
        <v>2503</v>
      </c>
      <c r="T216" t="s">
        <v>2504</v>
      </c>
      <c r="V216" t="s">
        <v>2505</v>
      </c>
      <c r="AA216" t="s">
        <v>4416</v>
      </c>
      <c r="AH216" t="s">
        <v>359</v>
      </c>
    </row>
    <row r="217" spans="1:34" ht="15.75">
      <c r="A217" s="29">
        <f t="shared" si="3"/>
        <v>140000</v>
      </c>
      <c r="B217" s="31">
        <v>581</v>
      </c>
      <c r="C217" s="31">
        <v>1</v>
      </c>
      <c r="D217" s="31">
        <v>1817</v>
      </c>
      <c r="E217">
        <v>12470</v>
      </c>
      <c r="F217" s="31">
        <v>112</v>
      </c>
      <c r="G217" s="9"/>
      <c r="H217" s="31" t="s">
        <v>850</v>
      </c>
      <c r="I217" s="31">
        <v>0</v>
      </c>
      <c r="J217" s="31">
        <f>3000+4000</f>
        <v>7000</v>
      </c>
      <c r="K217" s="30" t="s">
        <v>870</v>
      </c>
      <c r="L217" s="43" t="s">
        <v>2500</v>
      </c>
      <c r="M217" s="41" t="s">
        <v>2501</v>
      </c>
      <c r="N217" s="43"/>
      <c r="O217" s="43" t="s">
        <v>291</v>
      </c>
      <c r="P217" s="43">
        <v>10</v>
      </c>
      <c r="Q217" s="43">
        <v>11</v>
      </c>
      <c r="R217" s="43" t="s">
        <v>1547</v>
      </c>
      <c r="S217" s="9" t="s">
        <v>1712</v>
      </c>
      <c r="T217" s="9" t="s">
        <v>292</v>
      </c>
      <c r="U217" s="9"/>
      <c r="V217" s="9" t="s">
        <v>2505</v>
      </c>
      <c r="W217" s="9"/>
      <c r="X217">
        <v>1</v>
      </c>
      <c r="Y217" t="s">
        <v>293</v>
      </c>
      <c r="AA217" t="s">
        <v>4416</v>
      </c>
      <c r="AD217" t="s">
        <v>294</v>
      </c>
      <c r="AH217" t="s">
        <v>359</v>
      </c>
    </row>
    <row r="218" spans="1:34" ht="15.75">
      <c r="A218" s="29">
        <f t="shared" si="3"/>
        <v>250</v>
      </c>
      <c r="B218" s="6">
        <v>947</v>
      </c>
      <c r="C218">
        <v>5</v>
      </c>
      <c r="D218" s="2">
        <v>1817</v>
      </c>
      <c r="E218">
        <v>199</v>
      </c>
      <c r="F218">
        <v>113</v>
      </c>
      <c r="H218" t="s">
        <v>1540</v>
      </c>
      <c r="I218" s="2">
        <v>0</v>
      </c>
      <c r="J218" s="2">
        <v>25</v>
      </c>
      <c r="K218" s="2" t="s">
        <v>884</v>
      </c>
      <c r="L218" s="43" t="s">
        <v>2910</v>
      </c>
      <c r="P218" s="41">
        <v>18</v>
      </c>
      <c r="Q218" s="41">
        <v>12</v>
      </c>
      <c r="R218" s="41" t="s">
        <v>1199</v>
      </c>
      <c r="X218">
        <v>0.5</v>
      </c>
      <c r="Y218" t="s">
        <v>1187</v>
      </c>
      <c r="AH218" t="s">
        <v>359</v>
      </c>
    </row>
    <row r="219" spans="1:34" ht="15.75">
      <c r="A219" s="29">
        <f t="shared" si="3"/>
        <v>119028</v>
      </c>
      <c r="B219" s="8">
        <v>734</v>
      </c>
      <c r="C219" s="2">
        <v>3</v>
      </c>
      <c r="D219" s="2">
        <v>1817</v>
      </c>
      <c r="E219">
        <v>9360</v>
      </c>
      <c r="F219" s="8">
        <v>113</v>
      </c>
      <c r="G219" s="9"/>
      <c r="H219" s="8" t="s">
        <v>1541</v>
      </c>
      <c r="I219" s="8">
        <v>67028</v>
      </c>
      <c r="J219" s="8">
        <f>1000+1600</f>
        <v>2600</v>
      </c>
      <c r="K219" s="2" t="s">
        <v>884</v>
      </c>
      <c r="L219" s="43" t="s">
        <v>2910</v>
      </c>
      <c r="M219" s="43" t="s">
        <v>2915</v>
      </c>
      <c r="N219" s="43"/>
      <c r="O219" s="43" t="s">
        <v>2916</v>
      </c>
      <c r="P219" s="41">
        <v>18</v>
      </c>
      <c r="Q219" s="41">
        <v>12</v>
      </c>
      <c r="R219" s="41">
        <v>67</v>
      </c>
      <c r="S219" t="s">
        <v>2917</v>
      </c>
      <c r="T219" t="s">
        <v>4649</v>
      </c>
      <c r="V219" t="s">
        <v>2918</v>
      </c>
      <c r="X219">
        <v>1</v>
      </c>
      <c r="Y219" t="s">
        <v>2919</v>
      </c>
      <c r="AH219" t="s">
        <v>359</v>
      </c>
    </row>
    <row r="220" spans="1:34" ht="15.75">
      <c r="A220" s="29">
        <f t="shared" si="3"/>
        <v>17000</v>
      </c>
      <c r="B220" s="10">
        <v>953</v>
      </c>
      <c r="C220">
        <v>5</v>
      </c>
      <c r="D220" s="8">
        <v>1817</v>
      </c>
      <c r="E220">
        <v>297</v>
      </c>
      <c r="F220" s="9">
        <v>114</v>
      </c>
      <c r="G220" s="9"/>
      <c r="H220" s="9" t="s">
        <v>1540</v>
      </c>
      <c r="I220" s="8">
        <v>0</v>
      </c>
      <c r="J220" s="8">
        <v>850</v>
      </c>
      <c r="K220" s="2" t="s">
        <v>864</v>
      </c>
      <c r="L220" s="43" t="s">
        <v>3418</v>
      </c>
      <c r="M220" s="43" t="s">
        <v>3363</v>
      </c>
      <c r="N220" s="43" t="s">
        <v>3419</v>
      </c>
      <c r="O220" s="43" t="s">
        <v>3420</v>
      </c>
      <c r="P220" s="43">
        <v>28</v>
      </c>
      <c r="Q220" s="43">
        <v>12</v>
      </c>
      <c r="R220" s="43" t="s">
        <v>1199</v>
      </c>
      <c r="S220" s="12" t="s">
        <v>1547</v>
      </c>
      <c r="T220" s="12" t="s">
        <v>1219</v>
      </c>
      <c r="U220" s="12"/>
      <c r="V220" s="12" t="s">
        <v>3364</v>
      </c>
      <c r="W220" s="12"/>
      <c r="X220" s="9">
        <v>1</v>
      </c>
      <c r="Y220" s="9" t="s">
        <v>3559</v>
      </c>
      <c r="Z220" s="9"/>
      <c r="AA220" s="9"/>
      <c r="AB220" s="9"/>
      <c r="AC220" s="9"/>
      <c r="AD220" s="9"/>
      <c r="AE220" s="9"/>
      <c r="AF220" s="9"/>
      <c r="AG220" s="9"/>
      <c r="AH220" t="s">
        <v>359</v>
      </c>
    </row>
    <row r="221" spans="1:34" ht="15.75">
      <c r="A221" s="29">
        <f t="shared" si="3"/>
        <v>114235</v>
      </c>
      <c r="B221" s="15">
        <v>842</v>
      </c>
      <c r="C221" s="15">
        <v>6</v>
      </c>
      <c r="D221" s="2">
        <v>1817</v>
      </c>
      <c r="E221">
        <v>3771</v>
      </c>
      <c r="F221" s="15">
        <v>114</v>
      </c>
      <c r="G221" s="15"/>
      <c r="H221" s="15" t="s">
        <v>1540</v>
      </c>
      <c r="I221" s="15">
        <v>50235</v>
      </c>
      <c r="J221" s="15">
        <f>2500+700</f>
        <v>3200</v>
      </c>
      <c r="K221" s="15" t="s">
        <v>864</v>
      </c>
      <c r="L221" s="43" t="s">
        <v>3418</v>
      </c>
      <c r="M221" s="41" t="s">
        <v>3363</v>
      </c>
      <c r="N221" s="41" t="s">
        <v>2383</v>
      </c>
      <c r="O221" s="41" t="s">
        <v>2423</v>
      </c>
      <c r="P221" s="41">
        <v>29</v>
      </c>
      <c r="Q221" s="41">
        <v>12</v>
      </c>
      <c r="R221" s="41">
        <v>77</v>
      </c>
      <c r="S221" s="15" t="s">
        <v>2424</v>
      </c>
      <c r="T221" s="15" t="s">
        <v>2425</v>
      </c>
      <c r="U221" s="15"/>
      <c r="V221" s="15" t="s">
        <v>2426</v>
      </c>
      <c r="W221" s="15"/>
      <c r="X221" s="15">
        <v>1</v>
      </c>
      <c r="Y221" s="15" t="s">
        <v>2427</v>
      </c>
      <c r="Z221" s="15"/>
      <c r="AA221" s="15"/>
      <c r="AB221" s="15"/>
      <c r="AC221" s="15"/>
      <c r="AD221" s="15"/>
      <c r="AE221" s="15"/>
      <c r="AF221" s="15"/>
      <c r="AG221" s="15"/>
      <c r="AH221" t="s">
        <v>359</v>
      </c>
    </row>
    <row r="222" spans="1:34" ht="15.75">
      <c r="A222" s="29">
        <f t="shared" si="3"/>
        <v>50000</v>
      </c>
      <c r="B222" s="30">
        <v>555</v>
      </c>
      <c r="C222" s="30">
        <v>1</v>
      </c>
      <c r="D222" s="30">
        <v>1817</v>
      </c>
      <c r="E222">
        <v>11553</v>
      </c>
      <c r="F222" s="30">
        <v>114</v>
      </c>
      <c r="H222" t="s">
        <v>1540</v>
      </c>
      <c r="I222" s="30">
        <v>0</v>
      </c>
      <c r="J222" s="30">
        <v>2500</v>
      </c>
      <c r="K222" s="30" t="s">
        <v>884</v>
      </c>
      <c r="L222" s="43" t="s">
        <v>5696</v>
      </c>
      <c r="M222" s="41" t="s">
        <v>3363</v>
      </c>
      <c r="N222" s="41" t="s">
        <v>2793</v>
      </c>
      <c r="O222" s="41" t="s">
        <v>1086</v>
      </c>
      <c r="P222" s="41">
        <v>29</v>
      </c>
      <c r="Q222" s="41">
        <v>12</v>
      </c>
      <c r="R222" s="41" t="s">
        <v>1547</v>
      </c>
      <c r="S222" t="s">
        <v>1547</v>
      </c>
      <c r="T222" t="s">
        <v>4929</v>
      </c>
      <c r="V222" t="s">
        <v>3364</v>
      </c>
      <c r="X222">
        <v>1</v>
      </c>
      <c r="Y222" t="s">
        <v>1087</v>
      </c>
      <c r="AH222" t="s">
        <v>359</v>
      </c>
    </row>
    <row r="223" spans="1:34" ht="15.75">
      <c r="A223" s="29">
        <f t="shared" si="3"/>
        <v>178113</v>
      </c>
      <c r="B223" s="2">
        <v>642</v>
      </c>
      <c r="C223" s="2">
        <v>9</v>
      </c>
      <c r="D223" s="2">
        <v>1817</v>
      </c>
      <c r="E223">
        <v>6225</v>
      </c>
      <c r="F223" s="2">
        <v>115</v>
      </c>
      <c r="G223" s="1"/>
      <c r="H223" t="s">
        <v>1540</v>
      </c>
      <c r="I223" s="2">
        <v>18113</v>
      </c>
      <c r="J223" s="2">
        <f>3800+3500+700</f>
        <v>8000</v>
      </c>
      <c r="K223" s="8" t="s">
        <v>864</v>
      </c>
      <c r="L223" s="43" t="s">
        <v>1789</v>
      </c>
      <c r="M223" s="41" t="s">
        <v>5316</v>
      </c>
      <c r="N223" s="43" t="s">
        <v>974</v>
      </c>
      <c r="O223" s="43" t="s">
        <v>1790</v>
      </c>
      <c r="P223" s="41">
        <v>6</v>
      </c>
      <c r="Q223" s="41">
        <v>12</v>
      </c>
      <c r="R223" s="41">
        <v>91</v>
      </c>
      <c r="S223" t="s">
        <v>1266</v>
      </c>
      <c r="T223" s="8" t="s">
        <v>1791</v>
      </c>
      <c r="V223" s="8" t="s">
        <v>883</v>
      </c>
      <c r="X223">
        <v>1</v>
      </c>
      <c r="Y223" t="s">
        <v>1792</v>
      </c>
      <c r="AH223" t="s">
        <v>359</v>
      </c>
    </row>
    <row r="224" spans="1:34" ht="15.75">
      <c r="A224" s="29">
        <f t="shared" si="3"/>
        <v>27000</v>
      </c>
      <c r="B224" s="8">
        <v>739</v>
      </c>
      <c r="C224" s="2">
        <v>3</v>
      </c>
      <c r="D224" s="8">
        <v>1817</v>
      </c>
      <c r="E224">
        <v>9427</v>
      </c>
      <c r="F224" s="8">
        <v>115</v>
      </c>
      <c r="G224" s="7"/>
      <c r="H224" s="9" t="s">
        <v>1540</v>
      </c>
      <c r="I224" s="8">
        <v>0</v>
      </c>
      <c r="J224" s="8">
        <v>1350</v>
      </c>
      <c r="K224" s="2" t="s">
        <v>864</v>
      </c>
      <c r="L224" s="43" t="s">
        <v>5315</v>
      </c>
      <c r="M224" s="41" t="s">
        <v>5316</v>
      </c>
      <c r="N224" s="41" t="s">
        <v>1545</v>
      </c>
      <c r="O224" s="41" t="s">
        <v>5317</v>
      </c>
      <c r="P224" s="41">
        <v>6</v>
      </c>
      <c r="Q224" s="41">
        <v>12</v>
      </c>
      <c r="R224" s="41" t="s">
        <v>868</v>
      </c>
      <c r="S224" s="11" t="s">
        <v>1547</v>
      </c>
      <c r="T224" s="11" t="s">
        <v>2698</v>
      </c>
      <c r="U224" s="11"/>
      <c r="V224" s="11" t="s">
        <v>883</v>
      </c>
      <c r="W224" s="11"/>
      <c r="X224" s="11">
        <v>1</v>
      </c>
      <c r="Y224" s="11" t="s">
        <v>5318</v>
      </c>
      <c r="AA224" s="11"/>
      <c r="AB224" s="11"/>
      <c r="AH224" t="s">
        <v>359</v>
      </c>
    </row>
    <row r="225" spans="1:34" ht="15.75">
      <c r="A225" s="29">
        <f t="shared" si="3"/>
        <v>28896</v>
      </c>
      <c r="B225" s="6">
        <v>962</v>
      </c>
      <c r="C225">
        <v>5</v>
      </c>
      <c r="D225" s="2">
        <v>1817</v>
      </c>
      <c r="E225">
        <v>327</v>
      </c>
      <c r="F225">
        <v>116</v>
      </c>
      <c r="H225" t="s">
        <v>1541</v>
      </c>
      <c r="I225" s="2">
        <v>896</v>
      </c>
      <c r="J225" s="2">
        <v>1400</v>
      </c>
      <c r="K225" s="2" t="s">
        <v>850</v>
      </c>
      <c r="L225" s="43" t="s">
        <v>3571</v>
      </c>
      <c r="M225" s="41" t="s">
        <v>3572</v>
      </c>
      <c r="N225" s="41" t="s">
        <v>3573</v>
      </c>
      <c r="O225" s="41" t="s">
        <v>3574</v>
      </c>
      <c r="P225" s="41">
        <v>8</v>
      </c>
      <c r="Q225" s="41">
        <v>12</v>
      </c>
      <c r="R225" s="41">
        <v>68</v>
      </c>
      <c r="S225" t="s">
        <v>3575</v>
      </c>
      <c r="T225" t="s">
        <v>2765</v>
      </c>
      <c r="V225" t="s">
        <v>4647</v>
      </c>
      <c r="X225">
        <v>1</v>
      </c>
      <c r="Y225" t="s">
        <v>3576</v>
      </c>
      <c r="AH225" t="s">
        <v>359</v>
      </c>
    </row>
    <row r="226" spans="1:34" ht="15.75">
      <c r="A226" s="29">
        <f t="shared" si="3"/>
        <v>68000</v>
      </c>
      <c r="B226" s="15">
        <v>850</v>
      </c>
      <c r="C226" s="2">
        <v>6</v>
      </c>
      <c r="D226" s="2">
        <v>1817</v>
      </c>
      <c r="E226">
        <v>4080</v>
      </c>
      <c r="F226" s="15">
        <v>116</v>
      </c>
      <c r="G226" s="15"/>
      <c r="H226" t="s">
        <v>850</v>
      </c>
      <c r="I226" s="15">
        <v>0</v>
      </c>
      <c r="J226" s="15">
        <v>3400</v>
      </c>
      <c r="K226" s="15" t="s">
        <v>850</v>
      </c>
      <c r="L226" s="43" t="s">
        <v>2464</v>
      </c>
      <c r="M226" s="41" t="s">
        <v>3572</v>
      </c>
      <c r="O226" s="41" t="s">
        <v>2465</v>
      </c>
      <c r="P226" s="41">
        <v>8</v>
      </c>
      <c r="Q226" s="41">
        <v>12</v>
      </c>
      <c r="R226" s="41" t="s">
        <v>1547</v>
      </c>
      <c r="S226" s="15" t="s">
        <v>3329</v>
      </c>
      <c r="T226" s="15" t="s">
        <v>3637</v>
      </c>
      <c r="V226" s="15" t="s">
        <v>2466</v>
      </c>
      <c r="W226" s="15"/>
      <c r="X226" s="15">
        <v>1</v>
      </c>
      <c r="Y226" s="15" t="s">
        <v>2467</v>
      </c>
      <c r="Z226" s="15"/>
      <c r="AA226" s="15"/>
      <c r="AB226" s="15"/>
      <c r="AC226" s="15"/>
      <c r="AD226" s="15"/>
      <c r="AE226" s="15"/>
      <c r="AF226" s="15"/>
      <c r="AG226" s="15"/>
      <c r="AH226" t="s">
        <v>359</v>
      </c>
    </row>
    <row r="227" spans="1:34" ht="15.75">
      <c r="A227" s="29">
        <f t="shared" si="3"/>
        <v>38750</v>
      </c>
      <c r="B227" s="8">
        <v>445</v>
      </c>
      <c r="C227" s="2">
        <v>8</v>
      </c>
      <c r="D227" s="2">
        <v>1817</v>
      </c>
      <c r="E227">
        <v>8318</v>
      </c>
      <c r="F227" s="8">
        <v>117</v>
      </c>
      <c r="G227" s="9"/>
      <c r="H227" s="9" t="s">
        <v>1541</v>
      </c>
      <c r="I227" s="8">
        <v>0</v>
      </c>
      <c r="J227" s="8">
        <v>7750</v>
      </c>
      <c r="K227" s="8" t="s">
        <v>865</v>
      </c>
      <c r="L227" s="43" t="s">
        <v>2259</v>
      </c>
      <c r="M227" s="41" t="s">
        <v>2260</v>
      </c>
      <c r="O227" s="41" t="s">
        <v>2261</v>
      </c>
      <c r="P227" s="41">
        <v>2</v>
      </c>
      <c r="Q227" s="41">
        <v>12</v>
      </c>
      <c r="R227" s="41">
        <v>2</v>
      </c>
      <c r="S227" t="s">
        <v>3154</v>
      </c>
      <c r="T227" t="s">
        <v>2262</v>
      </c>
      <c r="V227" t="s">
        <v>5030</v>
      </c>
      <c r="X227">
        <v>0.25</v>
      </c>
      <c r="Y227" t="s">
        <v>2263</v>
      </c>
      <c r="AH227" t="s">
        <v>359</v>
      </c>
    </row>
    <row r="228" spans="1:34" ht="15.75">
      <c r="A228" s="29">
        <f t="shared" si="3"/>
        <v>79658</v>
      </c>
      <c r="B228" s="30">
        <v>564</v>
      </c>
      <c r="C228" s="30">
        <v>1</v>
      </c>
      <c r="D228" s="30">
        <v>1817</v>
      </c>
      <c r="E228">
        <v>11927</v>
      </c>
      <c r="F228" s="30">
        <v>117</v>
      </c>
      <c r="H228" t="s">
        <v>850</v>
      </c>
      <c r="I228" s="29">
        <v>79658</v>
      </c>
      <c r="J228">
        <v>0</v>
      </c>
      <c r="K228" s="30" t="s">
        <v>865</v>
      </c>
      <c r="L228" s="43" t="s">
        <v>2259</v>
      </c>
      <c r="M228" s="41" t="s">
        <v>2260</v>
      </c>
      <c r="O228" s="41" t="s">
        <v>108</v>
      </c>
      <c r="P228" s="41">
        <v>2</v>
      </c>
      <c r="Q228" s="41">
        <v>12</v>
      </c>
      <c r="R228" s="41">
        <v>2</v>
      </c>
      <c r="S228" t="s">
        <v>106</v>
      </c>
      <c r="T228" t="s">
        <v>109</v>
      </c>
      <c r="V228" t="s">
        <v>3963</v>
      </c>
      <c r="AH228" t="s">
        <v>359</v>
      </c>
    </row>
    <row r="229" spans="1:34" ht="15.75">
      <c r="A229" s="29">
        <f t="shared" si="3"/>
        <v>414</v>
      </c>
      <c r="B229" s="18">
        <v>856</v>
      </c>
      <c r="C229" s="15">
        <v>6</v>
      </c>
      <c r="D229" s="2">
        <v>1817</v>
      </c>
      <c r="E229">
        <v>4260</v>
      </c>
      <c r="F229" s="18">
        <v>118</v>
      </c>
      <c r="G229" s="18"/>
      <c r="H229" s="18" t="s">
        <v>1541</v>
      </c>
      <c r="I229" s="18">
        <v>414</v>
      </c>
      <c r="J229" s="18">
        <v>0</v>
      </c>
      <c r="K229" s="15" t="s">
        <v>865</v>
      </c>
      <c r="L229" s="43" t="s">
        <v>1462</v>
      </c>
      <c r="M229" s="43"/>
      <c r="N229" s="43"/>
      <c r="P229" s="41">
        <v>26</v>
      </c>
      <c r="Q229" s="41">
        <v>12</v>
      </c>
      <c r="R229" s="41">
        <v>63</v>
      </c>
      <c r="S229" s="15" t="s">
        <v>3329</v>
      </c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t="s">
        <v>359</v>
      </c>
    </row>
    <row r="230" spans="1:34" ht="15.75">
      <c r="A230" s="29">
        <f t="shared" si="3"/>
        <v>40000</v>
      </c>
      <c r="B230" s="8">
        <v>652</v>
      </c>
      <c r="C230" s="2">
        <v>9</v>
      </c>
      <c r="D230" s="2">
        <v>1817</v>
      </c>
      <c r="E230">
        <v>6625</v>
      </c>
      <c r="F230" s="8">
        <v>118</v>
      </c>
      <c r="G230" s="7"/>
      <c r="H230" s="7" t="s">
        <v>1541</v>
      </c>
      <c r="I230" s="8">
        <v>0</v>
      </c>
      <c r="J230" s="8">
        <v>2000</v>
      </c>
      <c r="K230" s="2" t="s">
        <v>865</v>
      </c>
      <c r="L230" s="43" t="s">
        <v>4966</v>
      </c>
      <c r="M230" s="41" t="s">
        <v>4968</v>
      </c>
      <c r="N230" s="41" t="s">
        <v>1555</v>
      </c>
      <c r="O230" s="41" t="s">
        <v>4969</v>
      </c>
      <c r="P230" s="41">
        <v>26</v>
      </c>
      <c r="Q230" s="41">
        <v>12</v>
      </c>
      <c r="R230" s="41" t="s">
        <v>1547</v>
      </c>
      <c r="S230" t="s">
        <v>4967</v>
      </c>
      <c r="T230" t="s">
        <v>2974</v>
      </c>
      <c r="V230" t="s">
        <v>4970</v>
      </c>
      <c r="X230">
        <v>1</v>
      </c>
      <c r="Y230" t="s">
        <v>4969</v>
      </c>
      <c r="AH230" t="s">
        <v>359</v>
      </c>
    </row>
    <row r="231" spans="1:34" ht="15.75">
      <c r="A231" s="29">
        <f t="shared" si="3"/>
        <v>24000</v>
      </c>
      <c r="B231" s="8">
        <v>761</v>
      </c>
      <c r="C231" s="2">
        <v>3</v>
      </c>
      <c r="D231" s="8">
        <v>1817</v>
      </c>
      <c r="E231">
        <v>9657</v>
      </c>
      <c r="F231" s="8">
        <v>119</v>
      </c>
      <c r="G231" s="9"/>
      <c r="H231" s="9" t="s">
        <v>1540</v>
      </c>
      <c r="I231" s="7">
        <v>0</v>
      </c>
      <c r="J231" s="7">
        <v>1200</v>
      </c>
      <c r="K231" s="2" t="s">
        <v>867</v>
      </c>
      <c r="L231" s="43" t="s">
        <v>1550</v>
      </c>
      <c r="M231" s="43" t="s">
        <v>3159</v>
      </c>
      <c r="N231" s="43" t="s">
        <v>2061</v>
      </c>
      <c r="O231" s="43" t="s">
        <v>2062</v>
      </c>
      <c r="P231" s="43">
        <v>22</v>
      </c>
      <c r="Q231" s="43">
        <v>12</v>
      </c>
      <c r="R231" s="43"/>
      <c r="S231" t="s">
        <v>2063</v>
      </c>
      <c r="T231" t="s">
        <v>2064</v>
      </c>
      <c r="V231" t="s">
        <v>876</v>
      </c>
      <c r="X231">
        <v>1</v>
      </c>
      <c r="Y231" t="s">
        <v>2065</v>
      </c>
      <c r="AH231" t="s">
        <v>359</v>
      </c>
    </row>
    <row r="232" spans="1:34" ht="15.75">
      <c r="A232" s="29">
        <f t="shared" si="3"/>
        <v>42680</v>
      </c>
      <c r="B232" s="30">
        <v>576</v>
      </c>
      <c r="C232" s="30">
        <v>1</v>
      </c>
      <c r="D232" s="30">
        <v>1817</v>
      </c>
      <c r="E232">
        <v>12329</v>
      </c>
      <c r="F232" s="2">
        <v>119</v>
      </c>
      <c r="H232" s="30" t="s">
        <v>1540</v>
      </c>
      <c r="I232" s="30">
        <v>42680</v>
      </c>
      <c r="J232" s="30">
        <v>0</v>
      </c>
      <c r="K232" s="30" t="s">
        <v>867</v>
      </c>
      <c r="L232" s="43" t="s">
        <v>1550</v>
      </c>
      <c r="M232" s="41" t="s">
        <v>229</v>
      </c>
      <c r="N232" s="41" t="s">
        <v>230</v>
      </c>
      <c r="O232" s="41" t="s">
        <v>231</v>
      </c>
      <c r="P232" s="41">
        <v>2</v>
      </c>
      <c r="Q232" s="41">
        <v>12</v>
      </c>
      <c r="S232" t="s">
        <v>232</v>
      </c>
      <c r="T232" t="s">
        <v>1262</v>
      </c>
      <c r="V232" t="s">
        <v>876</v>
      </c>
      <c r="AH232" t="s">
        <v>359</v>
      </c>
    </row>
    <row r="233" spans="1:34" ht="15.75">
      <c r="A233" s="29">
        <f t="shared" si="3"/>
        <v>60000</v>
      </c>
      <c r="B233" s="2">
        <v>460</v>
      </c>
      <c r="C233" s="2">
        <v>8</v>
      </c>
      <c r="D233" s="2">
        <v>1817</v>
      </c>
      <c r="E233">
        <v>8844</v>
      </c>
      <c r="F233" s="2">
        <v>120</v>
      </c>
      <c r="H233" t="s">
        <v>1541</v>
      </c>
      <c r="I233" s="2">
        <v>0</v>
      </c>
      <c r="J233" s="2">
        <v>6000</v>
      </c>
      <c r="K233" s="2" t="s">
        <v>868</v>
      </c>
      <c r="L233" s="43" t="s">
        <v>5621</v>
      </c>
      <c r="M233" s="41" t="s">
        <v>5622</v>
      </c>
      <c r="O233" s="41" t="s">
        <v>5623</v>
      </c>
      <c r="P233" s="41">
        <v>2</v>
      </c>
      <c r="Q233" s="41">
        <v>12</v>
      </c>
      <c r="S233" t="s">
        <v>5624</v>
      </c>
      <c r="T233" t="s">
        <v>5625</v>
      </c>
      <c r="V233" t="s">
        <v>2439</v>
      </c>
      <c r="X233">
        <v>0.5</v>
      </c>
      <c r="AH233" t="s">
        <v>359</v>
      </c>
    </row>
    <row r="234" spans="1:34" ht="15.75">
      <c r="A234" s="29">
        <f t="shared" si="3"/>
        <v>86001</v>
      </c>
      <c r="B234" s="8">
        <v>763</v>
      </c>
      <c r="C234" s="2">
        <v>3</v>
      </c>
      <c r="D234" s="8">
        <v>1817</v>
      </c>
      <c r="E234">
        <v>9674</v>
      </c>
      <c r="F234" s="8">
        <v>120</v>
      </c>
      <c r="G234" s="7"/>
      <c r="H234" s="9" t="s">
        <v>1541</v>
      </c>
      <c r="I234" s="8">
        <v>50001</v>
      </c>
      <c r="J234" s="8">
        <v>3600</v>
      </c>
      <c r="K234" s="2" t="s">
        <v>868</v>
      </c>
      <c r="L234" s="43" t="s">
        <v>5621</v>
      </c>
      <c r="M234" s="41" t="s">
        <v>5622</v>
      </c>
      <c r="N234" s="41" t="s">
        <v>1555</v>
      </c>
      <c r="O234" s="41" t="s">
        <v>2096</v>
      </c>
      <c r="P234" s="41">
        <v>2</v>
      </c>
      <c r="Q234" s="41">
        <v>12</v>
      </c>
      <c r="R234" s="41">
        <v>71</v>
      </c>
      <c r="S234" t="s">
        <v>2097</v>
      </c>
      <c r="T234" t="s">
        <v>5625</v>
      </c>
      <c r="V234" t="s">
        <v>4436</v>
      </c>
      <c r="X234">
        <v>0.5</v>
      </c>
      <c r="Y234" t="s">
        <v>2098</v>
      </c>
      <c r="AH234" t="s">
        <v>359</v>
      </c>
    </row>
    <row r="235" spans="1:34" ht="15.75">
      <c r="A235" s="29">
        <f t="shared" si="3"/>
        <v>48000</v>
      </c>
      <c r="B235" s="30">
        <v>578</v>
      </c>
      <c r="C235" s="30">
        <v>1</v>
      </c>
      <c r="D235" s="30">
        <v>1817</v>
      </c>
      <c r="E235">
        <v>12392</v>
      </c>
      <c r="F235" s="30">
        <v>120</v>
      </c>
      <c r="H235" s="30" t="s">
        <v>1541</v>
      </c>
      <c r="I235" s="30">
        <v>0</v>
      </c>
      <c r="J235" s="30">
        <v>2400</v>
      </c>
      <c r="K235" s="30" t="s">
        <v>868</v>
      </c>
      <c r="L235" s="43" t="s">
        <v>5621</v>
      </c>
      <c r="M235" s="41" t="s">
        <v>5622</v>
      </c>
      <c r="O235" s="41" t="s">
        <v>246</v>
      </c>
      <c r="P235" s="41">
        <v>2</v>
      </c>
      <c r="Q235" s="41">
        <v>12</v>
      </c>
      <c r="S235" s="30" t="s">
        <v>247</v>
      </c>
      <c r="T235" s="30" t="s">
        <v>713</v>
      </c>
      <c r="V235" s="30" t="s">
        <v>2439</v>
      </c>
      <c r="W235" s="30"/>
      <c r="X235">
        <v>1</v>
      </c>
      <c r="AA235" s="33"/>
      <c r="AB235" s="30"/>
      <c r="AD235" s="30"/>
      <c r="AH235" t="s">
        <v>359</v>
      </c>
    </row>
    <row r="236" spans="1:34" ht="15.75">
      <c r="A236" s="29">
        <f t="shared" si="3"/>
        <v>1094</v>
      </c>
      <c r="B236" s="15">
        <v>880</v>
      </c>
      <c r="C236" s="15">
        <v>6</v>
      </c>
      <c r="D236" s="2">
        <v>1817</v>
      </c>
      <c r="E236">
        <v>5213</v>
      </c>
      <c r="F236" s="15">
        <v>121</v>
      </c>
      <c r="G236" s="15"/>
      <c r="H236" s="15" t="s">
        <v>1541</v>
      </c>
      <c r="I236" s="15">
        <v>1094</v>
      </c>
      <c r="J236" s="15">
        <v>0</v>
      </c>
      <c r="K236" s="15" t="s">
        <v>871</v>
      </c>
      <c r="L236" s="43" t="s">
        <v>2150</v>
      </c>
      <c r="P236" s="41">
        <v>6</v>
      </c>
      <c r="Q236" s="41">
        <v>12</v>
      </c>
      <c r="R236" s="41">
        <v>83</v>
      </c>
      <c r="S236" s="15" t="s">
        <v>3329</v>
      </c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t="s">
        <v>359</v>
      </c>
    </row>
    <row r="237" spans="1:34" ht="15.75">
      <c r="A237" s="29">
        <f t="shared" si="3"/>
        <v>24000</v>
      </c>
      <c r="B237" s="8">
        <v>768</v>
      </c>
      <c r="C237" s="8">
        <v>3</v>
      </c>
      <c r="D237" s="8">
        <v>1817</v>
      </c>
      <c r="E237">
        <v>9718</v>
      </c>
      <c r="F237" s="8">
        <v>121</v>
      </c>
      <c r="G237" s="9"/>
      <c r="H237" s="9" t="s">
        <v>1541</v>
      </c>
      <c r="I237" s="7">
        <v>0</v>
      </c>
      <c r="J237" s="7">
        <v>1200</v>
      </c>
      <c r="K237" s="1" t="s">
        <v>871</v>
      </c>
      <c r="L237" s="43" t="s">
        <v>2150</v>
      </c>
      <c r="M237" s="43" t="s">
        <v>2151</v>
      </c>
      <c r="N237" s="43"/>
      <c r="O237" s="43" t="s">
        <v>2152</v>
      </c>
      <c r="P237" s="43">
        <v>6</v>
      </c>
      <c r="Q237" s="43">
        <v>12</v>
      </c>
      <c r="R237" s="43" t="s">
        <v>1547</v>
      </c>
      <c r="S237" t="s">
        <v>2153</v>
      </c>
      <c r="V237" t="s">
        <v>1548</v>
      </c>
      <c r="X237">
        <v>1</v>
      </c>
      <c r="Y237" t="s">
        <v>2154</v>
      </c>
      <c r="AH237" t="s">
        <v>359</v>
      </c>
    </row>
    <row r="238" spans="1:34" ht="15.75">
      <c r="A238" s="29">
        <f t="shared" si="3"/>
        <v>16000</v>
      </c>
      <c r="B238" s="18">
        <v>881</v>
      </c>
      <c r="C238" s="15">
        <v>6</v>
      </c>
      <c r="D238" s="2">
        <v>1817</v>
      </c>
      <c r="E238">
        <v>5242</v>
      </c>
      <c r="F238" s="18">
        <v>122</v>
      </c>
      <c r="G238" s="18"/>
      <c r="H238" s="18" t="s">
        <v>1540</v>
      </c>
      <c r="I238" s="18">
        <v>0</v>
      </c>
      <c r="J238" s="18">
        <v>800</v>
      </c>
      <c r="K238" s="15" t="s">
        <v>871</v>
      </c>
      <c r="L238" s="43" t="s">
        <v>3797</v>
      </c>
      <c r="M238" s="41" t="s">
        <v>3798</v>
      </c>
      <c r="N238" s="41" t="s">
        <v>1545</v>
      </c>
      <c r="O238" s="41" t="s">
        <v>3799</v>
      </c>
      <c r="P238" s="41">
        <v>25</v>
      </c>
      <c r="Q238" s="41">
        <v>12</v>
      </c>
      <c r="R238" s="41" t="s">
        <v>868</v>
      </c>
      <c r="S238" s="15" t="s">
        <v>3800</v>
      </c>
      <c r="T238" s="15" t="s">
        <v>3801</v>
      </c>
      <c r="U238" s="15"/>
      <c r="V238" s="15" t="s">
        <v>902</v>
      </c>
      <c r="W238" s="15"/>
      <c r="X238" s="15">
        <v>1</v>
      </c>
      <c r="Y238" s="15" t="s">
        <v>3802</v>
      </c>
      <c r="Z238" s="15"/>
      <c r="AA238" s="15"/>
      <c r="AB238" s="15"/>
      <c r="AC238" s="15"/>
      <c r="AD238" s="15"/>
      <c r="AE238" s="15"/>
      <c r="AF238" s="15"/>
      <c r="AG238" s="15"/>
      <c r="AH238" t="s">
        <v>359</v>
      </c>
    </row>
    <row r="239" spans="1:34" ht="15.75">
      <c r="A239" s="29">
        <f t="shared" si="3"/>
        <v>12194</v>
      </c>
      <c r="B239" s="2">
        <v>673</v>
      </c>
      <c r="C239" s="2">
        <v>9</v>
      </c>
      <c r="D239" s="2">
        <v>1817</v>
      </c>
      <c r="E239">
        <v>7393</v>
      </c>
      <c r="F239" s="2">
        <v>122</v>
      </c>
      <c r="G239" s="1"/>
      <c r="H239" t="s">
        <v>1549</v>
      </c>
      <c r="I239" s="1">
        <v>12194</v>
      </c>
      <c r="J239" s="1">
        <v>0</v>
      </c>
      <c r="K239" s="1" t="s">
        <v>871</v>
      </c>
      <c r="L239" s="43" t="s">
        <v>3797</v>
      </c>
      <c r="P239" s="41">
        <v>25</v>
      </c>
      <c r="Q239" s="41">
        <v>12</v>
      </c>
      <c r="R239" s="41">
        <v>95</v>
      </c>
      <c r="S239" t="s">
        <v>3324</v>
      </c>
      <c r="AH239" t="s">
        <v>359</v>
      </c>
    </row>
    <row r="240" spans="1:34" ht="15.75">
      <c r="A240" s="29">
        <f t="shared" si="3"/>
        <v>9374</v>
      </c>
      <c r="B240" s="15">
        <v>884</v>
      </c>
      <c r="C240" s="15">
        <v>6</v>
      </c>
      <c r="D240" s="2">
        <v>1817</v>
      </c>
      <c r="E240">
        <v>5316</v>
      </c>
      <c r="F240" s="15">
        <v>123</v>
      </c>
      <c r="G240" s="15"/>
      <c r="H240" s="15" t="s">
        <v>1549</v>
      </c>
      <c r="I240" s="15">
        <v>9374</v>
      </c>
      <c r="J240" s="15">
        <v>0</v>
      </c>
      <c r="K240" s="15" t="s">
        <v>872</v>
      </c>
      <c r="L240" s="43" t="s">
        <v>3811</v>
      </c>
      <c r="P240" s="41">
        <v>22</v>
      </c>
      <c r="Q240" s="41">
        <v>12</v>
      </c>
      <c r="R240" s="41">
        <v>64</v>
      </c>
      <c r="S240" s="15" t="s">
        <v>1547</v>
      </c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t="s">
        <v>359</v>
      </c>
    </row>
    <row r="241" spans="1:34" ht="15.75">
      <c r="A241" s="29">
        <f t="shared" si="3"/>
        <v>8000</v>
      </c>
      <c r="B241" s="2">
        <v>674</v>
      </c>
      <c r="C241" s="2">
        <v>9</v>
      </c>
      <c r="D241" s="2">
        <v>1817</v>
      </c>
      <c r="E241">
        <v>7446</v>
      </c>
      <c r="F241" s="2">
        <v>123</v>
      </c>
      <c r="G241" s="1"/>
      <c r="H241" t="s">
        <v>1549</v>
      </c>
      <c r="I241" s="1">
        <v>0</v>
      </c>
      <c r="J241" s="1">
        <v>400</v>
      </c>
      <c r="K241" s="1" t="s">
        <v>871</v>
      </c>
      <c r="L241" s="43" t="s">
        <v>3811</v>
      </c>
      <c r="P241" s="41">
        <v>22</v>
      </c>
      <c r="Q241" s="41">
        <v>12</v>
      </c>
      <c r="R241" s="41" t="s">
        <v>1547</v>
      </c>
      <c r="S241" t="s">
        <v>1547</v>
      </c>
      <c r="T241" t="s">
        <v>5206</v>
      </c>
      <c r="X241">
        <v>1</v>
      </c>
      <c r="Y241" t="s">
        <v>5207</v>
      </c>
      <c r="AH241" t="s">
        <v>359</v>
      </c>
    </row>
    <row r="242" spans="1:34" ht="15.75">
      <c r="A242" s="29">
        <f t="shared" si="3"/>
        <v>34000</v>
      </c>
      <c r="B242" s="6">
        <v>1002</v>
      </c>
      <c r="C242">
        <v>5</v>
      </c>
      <c r="D242" s="2">
        <v>1817</v>
      </c>
      <c r="E242">
        <v>667</v>
      </c>
      <c r="F242">
        <v>124</v>
      </c>
      <c r="H242" t="s">
        <v>1541</v>
      </c>
      <c r="I242" s="2">
        <v>34000</v>
      </c>
      <c r="J242" s="2">
        <v>0</v>
      </c>
      <c r="K242" s="2" t="s">
        <v>872</v>
      </c>
      <c r="L242" s="43" t="s">
        <v>4650</v>
      </c>
      <c r="M242" s="41" t="s">
        <v>4651</v>
      </c>
      <c r="O242" s="41" t="s">
        <v>4652</v>
      </c>
      <c r="P242" s="41">
        <v>8</v>
      </c>
      <c r="Q242" s="41">
        <v>12</v>
      </c>
      <c r="R242" s="41">
        <v>35</v>
      </c>
      <c r="S242" t="s">
        <v>1605</v>
      </c>
      <c r="T242" t="s">
        <v>1606</v>
      </c>
      <c r="V242" t="s">
        <v>3139</v>
      </c>
      <c r="AA242" t="s">
        <v>1607</v>
      </c>
      <c r="AH242" t="s">
        <v>359</v>
      </c>
    </row>
    <row r="243" spans="1:34" ht="15.75">
      <c r="A243" s="29">
        <f t="shared" si="3"/>
        <v>160000</v>
      </c>
      <c r="B243" s="2">
        <v>466</v>
      </c>
      <c r="C243" s="2">
        <v>8</v>
      </c>
      <c r="D243" s="2">
        <v>1817</v>
      </c>
      <c r="E243">
        <v>9054</v>
      </c>
      <c r="F243" s="2">
        <v>124</v>
      </c>
      <c r="H243" t="s">
        <v>1541</v>
      </c>
      <c r="I243" s="2">
        <v>0</v>
      </c>
      <c r="J243" s="2">
        <v>8000</v>
      </c>
      <c r="K243" s="2" t="s">
        <v>871</v>
      </c>
      <c r="L243" s="43" t="s">
        <v>4650</v>
      </c>
      <c r="M243" s="41" t="s">
        <v>4651</v>
      </c>
      <c r="O243" s="41" t="s">
        <v>4652</v>
      </c>
      <c r="P243" s="41">
        <v>8</v>
      </c>
      <c r="Q243" s="41">
        <v>12</v>
      </c>
      <c r="S243" t="s">
        <v>2559</v>
      </c>
      <c r="T243" t="s">
        <v>4331</v>
      </c>
      <c r="V243" t="s">
        <v>602</v>
      </c>
      <c r="X243">
        <v>1</v>
      </c>
      <c r="Y243" t="s">
        <v>2560</v>
      </c>
      <c r="AH243" t="s">
        <v>359</v>
      </c>
    </row>
    <row r="244" spans="1:34" ht="15.75">
      <c r="A244" s="29">
        <f t="shared" si="3"/>
        <v>31426</v>
      </c>
      <c r="B244" s="8">
        <v>679</v>
      </c>
      <c r="C244" s="2">
        <v>9</v>
      </c>
      <c r="D244" s="2">
        <v>1817</v>
      </c>
      <c r="E244">
        <v>7601</v>
      </c>
      <c r="F244" s="8">
        <v>125</v>
      </c>
      <c r="G244" s="7"/>
      <c r="H244" s="7" t="s">
        <v>1540</v>
      </c>
      <c r="I244" s="8">
        <v>2426</v>
      </c>
      <c r="J244" s="8">
        <f>550+200+700</f>
        <v>1450</v>
      </c>
      <c r="K244" s="8" t="s">
        <v>874</v>
      </c>
      <c r="L244" s="43" t="s">
        <v>944</v>
      </c>
      <c r="M244" s="41" t="s">
        <v>3362</v>
      </c>
      <c r="N244" s="41" t="s">
        <v>1555</v>
      </c>
      <c r="O244" s="41" t="s">
        <v>946</v>
      </c>
      <c r="P244" s="41">
        <v>11</v>
      </c>
      <c r="Q244" s="41">
        <v>12</v>
      </c>
      <c r="R244" s="41">
        <v>80</v>
      </c>
      <c r="S244" t="s">
        <v>945</v>
      </c>
      <c r="T244" t="s">
        <v>947</v>
      </c>
      <c r="V244" t="s">
        <v>1226</v>
      </c>
      <c r="X244">
        <v>1</v>
      </c>
      <c r="Y244" t="s">
        <v>948</v>
      </c>
      <c r="AH244" t="s">
        <v>359</v>
      </c>
    </row>
    <row r="245" spans="1:34" ht="15.75">
      <c r="A245" s="29">
        <f t="shared" si="3"/>
        <v>4000</v>
      </c>
      <c r="B245" s="8">
        <v>776</v>
      </c>
      <c r="C245" s="8">
        <v>3</v>
      </c>
      <c r="D245" s="8">
        <v>1817</v>
      </c>
      <c r="E245">
        <v>9797</v>
      </c>
      <c r="F245" s="8">
        <v>125</v>
      </c>
      <c r="G245" s="7"/>
      <c r="H245" s="9" t="s">
        <v>1540</v>
      </c>
      <c r="I245" s="8">
        <v>0</v>
      </c>
      <c r="J245" s="8">
        <v>200</v>
      </c>
      <c r="K245" s="8" t="s">
        <v>874</v>
      </c>
      <c r="L245" s="43" t="s">
        <v>944</v>
      </c>
      <c r="M245" s="41" t="s">
        <v>3362</v>
      </c>
      <c r="N245" s="41" t="s">
        <v>1555</v>
      </c>
      <c r="O245" s="41" t="s">
        <v>3513</v>
      </c>
      <c r="P245" s="41">
        <v>11</v>
      </c>
      <c r="Q245" s="41">
        <v>12</v>
      </c>
      <c r="R245" s="41">
        <v>80</v>
      </c>
      <c r="S245" t="s">
        <v>3514</v>
      </c>
      <c r="T245" t="s">
        <v>3515</v>
      </c>
      <c r="V245" t="s">
        <v>1226</v>
      </c>
      <c r="X245">
        <v>1</v>
      </c>
      <c r="Y245" t="s">
        <v>3516</v>
      </c>
      <c r="AH245" t="s">
        <v>359</v>
      </c>
    </row>
    <row r="246" spans="1:34" ht="15.75">
      <c r="A246" s="29">
        <f t="shared" si="3"/>
        <v>48120</v>
      </c>
      <c r="B246" s="2">
        <v>672</v>
      </c>
      <c r="C246" s="2">
        <v>9</v>
      </c>
      <c r="D246" s="2">
        <v>1817</v>
      </c>
      <c r="E246">
        <v>7355</v>
      </c>
      <c r="F246" s="2">
        <v>126</v>
      </c>
      <c r="G246" s="1"/>
      <c r="H246" t="s">
        <v>1540</v>
      </c>
      <c r="I246" s="1">
        <v>3100</v>
      </c>
      <c r="J246" s="1">
        <v>2251</v>
      </c>
      <c r="K246" s="1" t="s">
        <v>871</v>
      </c>
      <c r="L246" s="43" t="s">
        <v>300</v>
      </c>
      <c r="M246" s="41" t="s">
        <v>5171</v>
      </c>
      <c r="N246" s="41" t="s">
        <v>5172</v>
      </c>
      <c r="O246" s="41" t="s">
        <v>5173</v>
      </c>
      <c r="P246" s="41">
        <v>4</v>
      </c>
      <c r="Q246" s="41">
        <v>7</v>
      </c>
      <c r="R246" s="41" t="s">
        <v>1547</v>
      </c>
      <c r="S246" t="s">
        <v>3343</v>
      </c>
      <c r="T246" t="s">
        <v>5174</v>
      </c>
      <c r="V246" t="s">
        <v>879</v>
      </c>
      <c r="X246">
        <v>1</v>
      </c>
      <c r="Y246" t="s">
        <v>5175</v>
      </c>
      <c r="AH246" t="s">
        <v>359</v>
      </c>
    </row>
    <row r="247" spans="1:34" ht="15.75">
      <c r="A247" s="29">
        <f t="shared" si="3"/>
        <v>132833</v>
      </c>
      <c r="B247" s="30">
        <v>582</v>
      </c>
      <c r="C247" s="30">
        <v>1</v>
      </c>
      <c r="D247" s="30">
        <v>1817</v>
      </c>
      <c r="E247">
        <v>12509</v>
      </c>
      <c r="F247" s="30">
        <v>126</v>
      </c>
      <c r="G247" s="29"/>
      <c r="H247" t="s">
        <v>1540</v>
      </c>
      <c r="I247" s="30">
        <f>64733+8100</f>
        <v>72833</v>
      </c>
      <c r="J247" s="30">
        <v>3000</v>
      </c>
      <c r="K247" s="30" t="s">
        <v>871</v>
      </c>
      <c r="L247" s="43" t="s">
        <v>300</v>
      </c>
      <c r="M247" s="41" t="s">
        <v>301</v>
      </c>
      <c r="N247" s="41" t="s">
        <v>302</v>
      </c>
      <c r="O247" s="41" t="s">
        <v>303</v>
      </c>
      <c r="P247" s="41">
        <v>4</v>
      </c>
      <c r="Q247" s="41">
        <v>7</v>
      </c>
      <c r="R247" s="41">
        <v>66</v>
      </c>
      <c r="S247" t="s">
        <v>1547</v>
      </c>
      <c r="T247" t="s">
        <v>304</v>
      </c>
      <c r="V247" t="s">
        <v>879</v>
      </c>
      <c r="X247">
        <v>1</v>
      </c>
      <c r="Y247" t="s">
        <v>303</v>
      </c>
      <c r="AH247" t="s">
        <v>359</v>
      </c>
    </row>
    <row r="248" spans="1:34" ht="15.75">
      <c r="A248" s="29">
        <f t="shared" si="3"/>
        <v>6312</v>
      </c>
      <c r="B248" s="2">
        <v>464</v>
      </c>
      <c r="C248" s="2">
        <v>8</v>
      </c>
      <c r="D248" s="2">
        <v>1817</v>
      </c>
      <c r="E248">
        <v>8998</v>
      </c>
      <c r="F248" s="2">
        <v>127</v>
      </c>
      <c r="H248" t="s">
        <v>1541</v>
      </c>
      <c r="I248" s="2">
        <v>6312</v>
      </c>
      <c r="J248" s="2">
        <v>0</v>
      </c>
      <c r="K248" s="8" t="s">
        <v>870</v>
      </c>
      <c r="L248" s="43" t="s">
        <v>2511</v>
      </c>
      <c r="P248" s="41">
        <v>28</v>
      </c>
      <c r="Q248" s="41">
        <v>11</v>
      </c>
      <c r="R248" s="41">
        <v>45</v>
      </c>
      <c r="S248" t="s">
        <v>5578</v>
      </c>
      <c r="AH248" t="s">
        <v>359</v>
      </c>
    </row>
    <row r="249" spans="1:34" ht="15.75">
      <c r="A249" s="29">
        <f t="shared" si="3"/>
        <v>7500</v>
      </c>
      <c r="B249" s="8">
        <v>767</v>
      </c>
      <c r="C249" s="8">
        <v>3</v>
      </c>
      <c r="D249" s="8">
        <v>1817</v>
      </c>
      <c r="E249">
        <v>9715</v>
      </c>
      <c r="F249" s="8">
        <v>127</v>
      </c>
      <c r="G249" s="7"/>
      <c r="H249" s="9" t="s">
        <v>1541</v>
      </c>
      <c r="I249" s="8">
        <v>0</v>
      </c>
      <c r="J249" s="8">
        <v>600</v>
      </c>
      <c r="K249" s="2" t="s">
        <v>870</v>
      </c>
      <c r="L249" s="43" t="s">
        <v>4212</v>
      </c>
      <c r="P249" s="41">
        <v>28</v>
      </c>
      <c r="Q249" s="41">
        <v>11</v>
      </c>
      <c r="R249" s="41" t="s">
        <v>1547</v>
      </c>
      <c r="S249" t="s">
        <v>3321</v>
      </c>
      <c r="X249">
        <f>5/8</f>
        <v>0.625</v>
      </c>
      <c r="Y249" t="s">
        <v>2149</v>
      </c>
      <c r="AH249" t="s">
        <v>359</v>
      </c>
    </row>
    <row r="250" spans="1:34" ht="15.75">
      <c r="A250" s="29">
        <f t="shared" si="3"/>
        <v>0</v>
      </c>
      <c r="B250" s="6">
        <v>940</v>
      </c>
      <c r="C250">
        <v>5</v>
      </c>
      <c r="D250" s="2">
        <v>1817</v>
      </c>
      <c r="E250">
        <v>126</v>
      </c>
      <c r="F250">
        <v>128</v>
      </c>
      <c r="H250" t="s">
        <v>1541</v>
      </c>
      <c r="I250" s="2">
        <v>0</v>
      </c>
      <c r="J250" s="2">
        <v>0</v>
      </c>
      <c r="K250" s="2" t="s">
        <v>863</v>
      </c>
      <c r="L250" s="43" t="s">
        <v>1672</v>
      </c>
      <c r="M250" s="41" t="s">
        <v>1673</v>
      </c>
      <c r="O250" s="41" t="s">
        <v>1674</v>
      </c>
      <c r="P250" s="41">
        <v>18</v>
      </c>
      <c r="Q250" s="41">
        <v>12</v>
      </c>
      <c r="R250" s="41">
        <v>65</v>
      </c>
      <c r="V250" t="s">
        <v>1675</v>
      </c>
      <c r="AH250" t="s">
        <v>359</v>
      </c>
    </row>
    <row r="251" spans="1:34" ht="15.75">
      <c r="A251" s="29">
        <f t="shared" si="3"/>
        <v>19</v>
      </c>
      <c r="B251" s="2">
        <v>633</v>
      </c>
      <c r="C251" s="2">
        <v>9</v>
      </c>
      <c r="D251" s="2">
        <v>1817</v>
      </c>
      <c r="E251">
        <v>5785</v>
      </c>
      <c r="F251" s="2">
        <v>128</v>
      </c>
      <c r="G251" s="1"/>
      <c r="H251" t="s">
        <v>1541</v>
      </c>
      <c r="I251" s="2">
        <v>19</v>
      </c>
      <c r="J251" s="2">
        <v>0</v>
      </c>
      <c r="K251" s="2" t="s">
        <v>863</v>
      </c>
      <c r="L251" s="43" t="s">
        <v>1370</v>
      </c>
      <c r="P251" s="41">
        <v>18</v>
      </c>
      <c r="Q251" s="41">
        <v>2</v>
      </c>
      <c r="R251" s="41">
        <v>75</v>
      </c>
      <c r="S251" t="s">
        <v>3321</v>
      </c>
      <c r="AH251" t="s">
        <v>359</v>
      </c>
    </row>
    <row r="252" spans="1:34" ht="15.75">
      <c r="A252" s="29">
        <f t="shared" si="3"/>
        <v>14000</v>
      </c>
      <c r="B252" s="8">
        <v>633</v>
      </c>
      <c r="C252" s="8">
        <v>9</v>
      </c>
      <c r="D252" s="2">
        <v>1817</v>
      </c>
      <c r="E252">
        <v>5796</v>
      </c>
      <c r="F252" s="8">
        <v>129</v>
      </c>
      <c r="G252" s="7"/>
      <c r="H252" s="9" t="s">
        <v>1541</v>
      </c>
      <c r="I252" s="8">
        <v>0</v>
      </c>
      <c r="J252" s="8">
        <v>700</v>
      </c>
      <c r="K252" s="2" t="s">
        <v>863</v>
      </c>
      <c r="L252" s="43" t="s">
        <v>1687</v>
      </c>
      <c r="P252" s="41">
        <v>4</v>
      </c>
      <c r="Q252" s="41">
        <v>5</v>
      </c>
      <c r="S252" t="s">
        <v>3321</v>
      </c>
      <c r="X252">
        <v>1</v>
      </c>
      <c r="Y252" t="s">
        <v>3955</v>
      </c>
      <c r="AH252" t="s">
        <v>359</v>
      </c>
    </row>
    <row r="253" spans="1:34" ht="15.75">
      <c r="A253" s="29">
        <f t="shared" si="3"/>
        <v>42789</v>
      </c>
      <c r="B253" s="2">
        <v>432</v>
      </c>
      <c r="C253" s="2">
        <v>8</v>
      </c>
      <c r="D253" s="2">
        <v>1817</v>
      </c>
      <c r="E253">
        <v>7772</v>
      </c>
      <c r="F253" s="2">
        <v>129</v>
      </c>
      <c r="H253" t="s">
        <v>1541</v>
      </c>
      <c r="I253" s="2">
        <v>5789</v>
      </c>
      <c r="J253" s="2">
        <f>800+1050</f>
        <v>1850</v>
      </c>
      <c r="K253" s="2" t="s">
        <v>863</v>
      </c>
      <c r="L253" s="43" t="s">
        <v>4374</v>
      </c>
      <c r="M253" s="41" t="s">
        <v>3135</v>
      </c>
      <c r="N253" s="41" t="s">
        <v>4375</v>
      </c>
      <c r="O253" s="41" t="s">
        <v>4376</v>
      </c>
      <c r="P253" s="41">
        <v>3</v>
      </c>
      <c r="Q253" s="41">
        <v>5</v>
      </c>
      <c r="R253" s="41">
        <v>45</v>
      </c>
      <c r="S253" t="s">
        <v>4377</v>
      </c>
      <c r="T253" t="s">
        <v>4378</v>
      </c>
      <c r="V253" t="s">
        <v>4379</v>
      </c>
      <c r="X253">
        <v>1</v>
      </c>
      <c r="Y253" t="s">
        <v>4380</v>
      </c>
      <c r="AH253" t="s">
        <v>359</v>
      </c>
    </row>
    <row r="254" spans="1:34" ht="15.75">
      <c r="A254" s="29">
        <f t="shared" si="3"/>
        <v>148000</v>
      </c>
      <c r="B254" s="2">
        <v>635</v>
      </c>
      <c r="C254" s="2">
        <v>9</v>
      </c>
      <c r="D254" s="2">
        <v>1817</v>
      </c>
      <c r="E254">
        <v>5895</v>
      </c>
      <c r="F254" s="2">
        <v>130</v>
      </c>
      <c r="G254" s="1"/>
      <c r="H254" t="s">
        <v>850</v>
      </c>
      <c r="I254" s="2">
        <v>0</v>
      </c>
      <c r="J254" s="2">
        <v>7400</v>
      </c>
      <c r="K254" s="2" t="s">
        <v>863</v>
      </c>
      <c r="L254" s="43" t="s">
        <v>1269</v>
      </c>
      <c r="M254" s="41" t="s">
        <v>1542</v>
      </c>
      <c r="N254" s="41" t="s">
        <v>1551</v>
      </c>
      <c r="O254" s="41" t="s">
        <v>3986</v>
      </c>
      <c r="P254" s="41">
        <v>23</v>
      </c>
      <c r="Q254" s="41">
        <v>10</v>
      </c>
      <c r="S254" t="s">
        <v>3985</v>
      </c>
      <c r="T254" t="s">
        <v>3987</v>
      </c>
      <c r="V254" t="s">
        <v>897</v>
      </c>
      <c r="X254">
        <v>1</v>
      </c>
      <c r="Y254" t="s">
        <v>3988</v>
      </c>
      <c r="AH254" t="s">
        <v>359</v>
      </c>
    </row>
    <row r="255" spans="1:34" ht="15.75">
      <c r="A255" s="29">
        <f t="shared" si="3"/>
        <v>129052</v>
      </c>
      <c r="B255" s="8">
        <v>732</v>
      </c>
      <c r="C255" s="2">
        <v>3</v>
      </c>
      <c r="D255" s="8">
        <v>1817</v>
      </c>
      <c r="E255">
        <v>9336</v>
      </c>
      <c r="F255" s="8">
        <v>130</v>
      </c>
      <c r="G255" s="7"/>
      <c r="H255" s="9" t="s">
        <v>1541</v>
      </c>
      <c r="I255" s="8">
        <v>41052</v>
      </c>
      <c r="J255" s="8">
        <v>4400</v>
      </c>
      <c r="K255" s="2" t="s">
        <v>863</v>
      </c>
      <c r="L255" s="43" t="s">
        <v>1269</v>
      </c>
      <c r="M255" s="41" t="s">
        <v>3135</v>
      </c>
      <c r="N255" s="41" t="s">
        <v>1555</v>
      </c>
      <c r="O255" s="41" t="s">
        <v>3986</v>
      </c>
      <c r="P255" s="41">
        <v>23</v>
      </c>
      <c r="Q255" s="41">
        <v>10</v>
      </c>
      <c r="R255" s="41">
        <v>70</v>
      </c>
      <c r="S255" t="s">
        <v>2881</v>
      </c>
      <c r="T255" t="s">
        <v>2882</v>
      </c>
      <c r="V255" t="s">
        <v>897</v>
      </c>
      <c r="X255">
        <v>1</v>
      </c>
      <c r="Y255" t="s">
        <v>2883</v>
      </c>
      <c r="AH255" t="s">
        <v>359</v>
      </c>
    </row>
    <row r="256" spans="1:34" ht="15.75">
      <c r="A256" s="29">
        <f t="shared" si="3"/>
        <v>8722.5</v>
      </c>
      <c r="B256" s="2">
        <v>639</v>
      </c>
      <c r="C256" s="2">
        <v>9</v>
      </c>
      <c r="D256" s="2">
        <v>1817</v>
      </c>
      <c r="E256">
        <v>6065</v>
      </c>
      <c r="F256" s="2">
        <v>131</v>
      </c>
      <c r="G256" s="1"/>
      <c r="H256" s="1" t="s">
        <v>1541</v>
      </c>
      <c r="I256" s="2">
        <v>0</v>
      </c>
      <c r="J256" s="2">
        <v>1163</v>
      </c>
      <c r="K256" s="2" t="s">
        <v>884</v>
      </c>
      <c r="L256" s="43" t="s">
        <v>4050</v>
      </c>
      <c r="M256" s="41" t="s">
        <v>857</v>
      </c>
      <c r="O256" s="41" t="s">
        <v>4052</v>
      </c>
      <c r="P256" s="41">
        <v>25</v>
      </c>
      <c r="Q256" s="41">
        <v>2</v>
      </c>
      <c r="R256" s="41" t="s">
        <v>1547</v>
      </c>
      <c r="S256" t="s">
        <v>4051</v>
      </c>
      <c r="T256" t="s">
        <v>5911</v>
      </c>
      <c r="V256" t="s">
        <v>4770</v>
      </c>
      <c r="X256">
        <f>3/8</f>
        <v>0.375</v>
      </c>
      <c r="Y256" t="s">
        <v>4053</v>
      </c>
      <c r="AH256" t="s">
        <v>359</v>
      </c>
    </row>
    <row r="257" spans="1:34" ht="15.75">
      <c r="A257" s="29">
        <f t="shared" si="3"/>
        <v>3211</v>
      </c>
      <c r="B257" s="2">
        <v>436</v>
      </c>
      <c r="C257" s="2">
        <v>8</v>
      </c>
      <c r="D257" s="2">
        <v>1817</v>
      </c>
      <c r="E257">
        <v>7953</v>
      </c>
      <c r="F257" s="2">
        <v>131</v>
      </c>
      <c r="H257" t="s">
        <v>1541</v>
      </c>
      <c r="I257" s="2">
        <v>3211</v>
      </c>
      <c r="J257" s="2">
        <v>0</v>
      </c>
      <c r="K257" s="2" t="s">
        <v>884</v>
      </c>
      <c r="L257" s="43" t="s">
        <v>5786</v>
      </c>
      <c r="P257" s="41">
        <v>23</v>
      </c>
      <c r="Q257" s="41">
        <v>2</v>
      </c>
      <c r="R257" s="41">
        <v>76</v>
      </c>
      <c r="S257" t="s">
        <v>3329</v>
      </c>
      <c r="AH257" t="s">
        <v>359</v>
      </c>
    </row>
    <row r="258" spans="1:34" ht="15.75">
      <c r="A258" s="29">
        <f aca="true" t="shared" si="4" ref="A258:A321">I258+J258*20*X258</f>
        <v>10000</v>
      </c>
      <c r="B258" s="8">
        <v>645</v>
      </c>
      <c r="C258" s="2">
        <v>9</v>
      </c>
      <c r="D258" s="2">
        <v>1817</v>
      </c>
      <c r="E258">
        <v>6334</v>
      </c>
      <c r="F258" s="8">
        <v>132</v>
      </c>
      <c r="G258" s="7"/>
      <c r="H258" s="7" t="s">
        <v>1540</v>
      </c>
      <c r="I258" s="8">
        <v>0</v>
      </c>
      <c r="J258" s="8">
        <v>2000</v>
      </c>
      <c r="K258" s="8" t="s">
        <v>864</v>
      </c>
      <c r="L258" s="43" t="s">
        <v>571</v>
      </c>
      <c r="M258" s="41" t="s">
        <v>1298</v>
      </c>
      <c r="N258" s="41" t="s">
        <v>573</v>
      </c>
      <c r="O258" s="41" t="s">
        <v>574</v>
      </c>
      <c r="P258" s="41">
        <v>24</v>
      </c>
      <c r="Q258" s="41">
        <v>6</v>
      </c>
      <c r="S258" t="s">
        <v>572</v>
      </c>
      <c r="T258" t="s">
        <v>3273</v>
      </c>
      <c r="V258" t="s">
        <v>575</v>
      </c>
      <c r="X258">
        <v>0.25</v>
      </c>
      <c r="Y258" t="s">
        <v>576</v>
      </c>
      <c r="AH258" t="s">
        <v>359</v>
      </c>
    </row>
    <row r="259" spans="1:34" ht="15.75">
      <c r="A259" s="29">
        <f t="shared" si="4"/>
        <v>175093</v>
      </c>
      <c r="B259" s="2">
        <v>441</v>
      </c>
      <c r="C259" s="2">
        <v>8</v>
      </c>
      <c r="D259" s="2">
        <v>1817</v>
      </c>
      <c r="E259">
        <v>8189</v>
      </c>
      <c r="F259" s="2">
        <v>132</v>
      </c>
      <c r="H259" s="2" t="s">
        <v>1549</v>
      </c>
      <c r="I259" s="2">
        <v>109093</v>
      </c>
      <c r="J259" s="2">
        <v>3300</v>
      </c>
      <c r="K259" s="2" t="s">
        <v>864</v>
      </c>
      <c r="L259" s="43" t="s">
        <v>571</v>
      </c>
      <c r="M259" s="41" t="s">
        <v>1546</v>
      </c>
      <c r="N259" s="41" t="s">
        <v>4579</v>
      </c>
      <c r="O259" s="41" t="s">
        <v>4580</v>
      </c>
      <c r="P259" s="41" t="s">
        <v>1547</v>
      </c>
      <c r="Q259" s="41" t="s">
        <v>1547</v>
      </c>
      <c r="R259" s="41">
        <v>65</v>
      </c>
      <c r="S259" s="23" t="s">
        <v>4581</v>
      </c>
      <c r="T259" s="2" t="s">
        <v>4582</v>
      </c>
      <c r="V259" s="2" t="s">
        <v>575</v>
      </c>
      <c r="W259" s="2"/>
      <c r="X259" s="2">
        <v>1</v>
      </c>
      <c r="Y259" s="2" t="s">
        <v>4583</v>
      </c>
      <c r="Z259" s="2"/>
      <c r="AA259" s="2" t="s">
        <v>4584</v>
      </c>
      <c r="AB259" s="2"/>
      <c r="AH259" t="s">
        <v>359</v>
      </c>
    </row>
    <row r="260" spans="1:34" ht="15.75">
      <c r="A260" s="29">
        <f t="shared" si="4"/>
        <v>500</v>
      </c>
      <c r="B260" s="2">
        <v>447</v>
      </c>
      <c r="C260" s="2">
        <v>8</v>
      </c>
      <c r="D260" s="2">
        <v>1817</v>
      </c>
      <c r="E260">
        <v>8395</v>
      </c>
      <c r="F260" s="2">
        <v>133</v>
      </c>
      <c r="H260" t="s">
        <v>1541</v>
      </c>
      <c r="I260" s="2">
        <v>500</v>
      </c>
      <c r="J260" s="2">
        <v>0</v>
      </c>
      <c r="K260" s="8" t="s">
        <v>865</v>
      </c>
      <c r="L260" s="43" t="s">
        <v>1482</v>
      </c>
      <c r="P260" s="41">
        <v>15</v>
      </c>
      <c r="Q260" s="41">
        <v>6</v>
      </c>
      <c r="R260" s="41">
        <v>46</v>
      </c>
      <c r="S260" t="s">
        <v>3321</v>
      </c>
      <c r="AH260" t="s">
        <v>359</v>
      </c>
    </row>
    <row r="261" spans="1:34" ht="15.75">
      <c r="A261" s="29">
        <f t="shared" si="4"/>
        <v>12000</v>
      </c>
      <c r="B261" s="8">
        <v>748</v>
      </c>
      <c r="C261" s="2">
        <v>3</v>
      </c>
      <c r="D261" s="8">
        <v>1817</v>
      </c>
      <c r="E261">
        <v>9528</v>
      </c>
      <c r="F261" s="8">
        <v>133</v>
      </c>
      <c r="G261" s="7"/>
      <c r="H261" s="9" t="s">
        <v>1541</v>
      </c>
      <c r="I261" s="8">
        <v>0</v>
      </c>
      <c r="J261" s="8">
        <v>1200</v>
      </c>
      <c r="K261" s="2" t="s">
        <v>865</v>
      </c>
      <c r="L261" s="43" t="s">
        <v>1482</v>
      </c>
      <c r="M261" s="43"/>
      <c r="N261" s="43"/>
      <c r="O261" s="43"/>
      <c r="P261" s="43">
        <v>16</v>
      </c>
      <c r="Q261" s="43">
        <v>6</v>
      </c>
      <c r="R261" s="43" t="s">
        <v>868</v>
      </c>
      <c r="S261" t="s">
        <v>3321</v>
      </c>
      <c r="T261" s="9"/>
      <c r="U261" s="9"/>
      <c r="V261" s="9"/>
      <c r="W261" s="9"/>
      <c r="X261" s="9">
        <v>0.5</v>
      </c>
      <c r="Y261" s="9" t="s">
        <v>1913</v>
      </c>
      <c r="AH261" t="s">
        <v>359</v>
      </c>
    </row>
    <row r="262" spans="1:34" ht="15.75">
      <c r="A262" s="29">
        <f t="shared" si="4"/>
        <v>60000</v>
      </c>
      <c r="B262" s="6">
        <v>969</v>
      </c>
      <c r="C262">
        <v>5</v>
      </c>
      <c r="D262" s="2">
        <v>1817</v>
      </c>
      <c r="E262">
        <v>414</v>
      </c>
      <c r="F262">
        <v>134</v>
      </c>
      <c r="H262" t="s">
        <v>1540</v>
      </c>
      <c r="I262" s="2">
        <v>0</v>
      </c>
      <c r="J262" s="2">
        <f>60000/20</f>
        <v>3000</v>
      </c>
      <c r="K262" s="2" t="s">
        <v>1549</v>
      </c>
      <c r="L262" s="43" t="s">
        <v>3462</v>
      </c>
      <c r="M262" s="41" t="s">
        <v>3463</v>
      </c>
      <c r="N262" s="41" t="s">
        <v>3464</v>
      </c>
      <c r="O262" s="41" t="s">
        <v>3465</v>
      </c>
      <c r="P262" s="41">
        <v>30</v>
      </c>
      <c r="Q262" s="41">
        <v>5</v>
      </c>
      <c r="R262" s="41" t="s">
        <v>1547</v>
      </c>
      <c r="T262" t="s">
        <v>2765</v>
      </c>
      <c r="V262" t="s">
        <v>3409</v>
      </c>
      <c r="X262">
        <v>1</v>
      </c>
      <c r="AH262" t="s">
        <v>359</v>
      </c>
    </row>
    <row r="263" spans="1:34" ht="15.75">
      <c r="A263" s="29">
        <f t="shared" si="4"/>
        <v>7430</v>
      </c>
      <c r="B263" s="2">
        <v>448</v>
      </c>
      <c r="C263" s="2">
        <v>8</v>
      </c>
      <c r="D263" s="2">
        <v>1817</v>
      </c>
      <c r="E263">
        <v>8453</v>
      </c>
      <c r="F263" s="2">
        <v>134</v>
      </c>
      <c r="H263" t="s">
        <v>1549</v>
      </c>
      <c r="I263" s="2">
        <v>7430</v>
      </c>
      <c r="J263" s="2"/>
      <c r="K263" s="2" t="s">
        <v>1549</v>
      </c>
      <c r="L263" s="43" t="s">
        <v>1688</v>
      </c>
      <c r="P263" s="41">
        <v>29</v>
      </c>
      <c r="Q263" s="41">
        <v>5</v>
      </c>
      <c r="R263" s="41">
        <v>80</v>
      </c>
      <c r="S263" t="s">
        <v>4324</v>
      </c>
      <c r="AH263" t="s">
        <v>359</v>
      </c>
    </row>
    <row r="264" spans="1:34" ht="15.75">
      <c r="A264" s="29">
        <f t="shared" si="4"/>
        <v>119630</v>
      </c>
      <c r="B264" s="2">
        <v>457</v>
      </c>
      <c r="C264" s="2">
        <v>8</v>
      </c>
      <c r="D264" s="2">
        <v>1817</v>
      </c>
      <c r="E264">
        <v>8736</v>
      </c>
      <c r="F264" s="2">
        <v>135</v>
      </c>
      <c r="H264" t="s">
        <v>1541</v>
      </c>
      <c r="I264" s="2">
        <f>32111+12199</f>
        <v>44310</v>
      </c>
      <c r="J264" s="2">
        <v>3766</v>
      </c>
      <c r="K264" s="2" t="s">
        <v>867</v>
      </c>
      <c r="L264" s="43" t="s">
        <v>5697</v>
      </c>
      <c r="M264" s="41" t="s">
        <v>5553</v>
      </c>
      <c r="N264" s="41" t="s">
        <v>1555</v>
      </c>
      <c r="O264" s="41" t="s">
        <v>5554</v>
      </c>
      <c r="P264" s="41">
        <v>28</v>
      </c>
      <c r="Q264" s="41">
        <v>12</v>
      </c>
      <c r="R264" s="41">
        <v>51</v>
      </c>
      <c r="S264" t="s">
        <v>5555</v>
      </c>
      <c r="T264" t="s">
        <v>5556</v>
      </c>
      <c r="V264" t="s">
        <v>5255</v>
      </c>
      <c r="X264">
        <v>1</v>
      </c>
      <c r="Y264" t="s">
        <v>5557</v>
      </c>
      <c r="AH264" t="s">
        <v>359</v>
      </c>
    </row>
    <row r="265" spans="1:34" ht="15.75">
      <c r="A265" s="29">
        <f t="shared" si="4"/>
        <v>157000</v>
      </c>
      <c r="B265" s="30">
        <v>576</v>
      </c>
      <c r="C265" s="30">
        <v>1</v>
      </c>
      <c r="D265" s="30">
        <v>1817</v>
      </c>
      <c r="E265">
        <v>12319</v>
      </c>
      <c r="F265" s="30">
        <v>135</v>
      </c>
      <c r="H265" s="30" t="s">
        <v>1541</v>
      </c>
      <c r="I265" s="30">
        <v>0</v>
      </c>
      <c r="J265" s="30">
        <f>4200+3650</f>
        <v>7850</v>
      </c>
      <c r="K265" s="30" t="s">
        <v>867</v>
      </c>
      <c r="L265" s="43" t="s">
        <v>5697</v>
      </c>
      <c r="M265" s="41" t="s">
        <v>5698</v>
      </c>
      <c r="O265" s="41" t="s">
        <v>220</v>
      </c>
      <c r="P265" s="41">
        <v>28</v>
      </c>
      <c r="Q265" s="41">
        <v>12</v>
      </c>
      <c r="S265" t="s">
        <v>221</v>
      </c>
      <c r="T265" t="s">
        <v>222</v>
      </c>
      <c r="V265" t="s">
        <v>5255</v>
      </c>
      <c r="X265">
        <v>1</v>
      </c>
      <c r="Y265" t="s">
        <v>223</v>
      </c>
      <c r="AH265" t="s">
        <v>359</v>
      </c>
    </row>
    <row r="266" spans="1:34" ht="15.75">
      <c r="A266" s="29">
        <f t="shared" si="4"/>
        <v>20938.092</v>
      </c>
      <c r="B266" s="8">
        <v>661</v>
      </c>
      <c r="C266" s="2">
        <v>9</v>
      </c>
      <c r="D266" s="2">
        <v>1817</v>
      </c>
      <c r="E266">
        <v>6931</v>
      </c>
      <c r="F266" s="8">
        <v>136</v>
      </c>
      <c r="G266" s="7"/>
      <c r="H266" s="7" t="s">
        <v>1540</v>
      </c>
      <c r="I266" s="8">
        <v>1827</v>
      </c>
      <c r="J266" s="8">
        <v>2200</v>
      </c>
      <c r="K266" s="2" t="s">
        <v>866</v>
      </c>
      <c r="L266" s="43" t="s">
        <v>2014</v>
      </c>
      <c r="M266" s="41" t="s">
        <v>1275</v>
      </c>
      <c r="N266" s="41" t="s">
        <v>655</v>
      </c>
      <c r="O266" s="41" t="s">
        <v>752</v>
      </c>
      <c r="P266" s="41">
        <v>20</v>
      </c>
      <c r="Q266" s="41">
        <v>7</v>
      </c>
      <c r="R266" s="41" t="s">
        <v>1547</v>
      </c>
      <c r="S266" t="s">
        <v>751</v>
      </c>
      <c r="T266" t="s">
        <v>4205</v>
      </c>
      <c r="V266" t="s">
        <v>753</v>
      </c>
      <c r="X266">
        <v>0.434343</v>
      </c>
      <c r="Y266" t="s">
        <v>754</v>
      </c>
      <c r="AH266" t="s">
        <v>359</v>
      </c>
    </row>
    <row r="267" spans="1:34" ht="15.75">
      <c r="A267" s="29">
        <f t="shared" si="4"/>
        <v>345550</v>
      </c>
      <c r="B267" s="8">
        <v>758</v>
      </c>
      <c r="C267" s="2">
        <v>3</v>
      </c>
      <c r="D267" s="8">
        <v>1817</v>
      </c>
      <c r="E267">
        <v>9620</v>
      </c>
      <c r="F267" s="8">
        <v>136</v>
      </c>
      <c r="G267" s="7"/>
      <c r="H267" s="9" t="s">
        <v>1540</v>
      </c>
      <c r="I267" s="8">
        <v>1800</v>
      </c>
      <c r="J267" s="8">
        <v>27500</v>
      </c>
      <c r="K267" s="2" t="s">
        <v>866</v>
      </c>
      <c r="L267" s="43" t="s">
        <v>2014</v>
      </c>
      <c r="M267" s="41" t="s">
        <v>1275</v>
      </c>
      <c r="N267" s="41" t="s">
        <v>2015</v>
      </c>
      <c r="O267" s="41" t="s">
        <v>2016</v>
      </c>
      <c r="P267" s="41">
        <v>20</v>
      </c>
      <c r="Q267" s="41">
        <v>7</v>
      </c>
      <c r="R267" s="41">
        <v>74</v>
      </c>
      <c r="S267" t="s">
        <v>2017</v>
      </c>
      <c r="T267" t="s">
        <v>2018</v>
      </c>
      <c r="V267" t="s">
        <v>753</v>
      </c>
      <c r="X267">
        <f>5/8</f>
        <v>0.625</v>
      </c>
      <c r="Y267" t="s">
        <v>2019</v>
      </c>
      <c r="AH267" t="s">
        <v>359</v>
      </c>
    </row>
    <row r="268" spans="1:34" ht="15.75">
      <c r="A268" s="29">
        <f t="shared" si="4"/>
        <v>930000</v>
      </c>
      <c r="B268" s="15">
        <v>894</v>
      </c>
      <c r="C268" s="15">
        <v>6</v>
      </c>
      <c r="D268" s="2">
        <v>1817</v>
      </c>
      <c r="E268">
        <v>5597</v>
      </c>
      <c r="F268" s="30">
        <v>137</v>
      </c>
      <c r="G268" s="15"/>
      <c r="H268" s="18" t="s">
        <v>1540</v>
      </c>
      <c r="I268" s="15">
        <v>550000</v>
      </c>
      <c r="J268" s="2">
        <v>19000</v>
      </c>
      <c r="K268" s="15" t="s">
        <v>874</v>
      </c>
      <c r="L268" s="43" t="s">
        <v>3856</v>
      </c>
      <c r="M268" s="41" t="s">
        <v>5316</v>
      </c>
      <c r="N268" s="41" t="s">
        <v>3857</v>
      </c>
      <c r="O268" s="41" t="s">
        <v>3858</v>
      </c>
      <c r="P268" s="41">
        <v>16</v>
      </c>
      <c r="Q268" s="41">
        <v>9</v>
      </c>
      <c r="R268" s="41">
        <v>57</v>
      </c>
      <c r="S268" s="15" t="s">
        <v>847</v>
      </c>
      <c r="T268" s="15" t="s">
        <v>3859</v>
      </c>
      <c r="U268" s="15"/>
      <c r="V268" s="15" t="s">
        <v>1552</v>
      </c>
      <c r="W268" s="15"/>
      <c r="X268" s="15">
        <v>1</v>
      </c>
      <c r="Y268" s="15" t="s">
        <v>3860</v>
      </c>
      <c r="Z268" s="15"/>
      <c r="AA268" s="15"/>
      <c r="AB268" s="15"/>
      <c r="AC268" s="15"/>
      <c r="AD268" s="15"/>
      <c r="AE268" s="15"/>
      <c r="AF268" s="15"/>
      <c r="AG268" s="15" t="s">
        <v>360</v>
      </c>
      <c r="AH268" t="s">
        <v>359</v>
      </c>
    </row>
    <row r="269" spans="1:34" ht="15.75">
      <c r="A269" s="29">
        <f t="shared" si="4"/>
        <v>105436</v>
      </c>
      <c r="B269" s="2">
        <v>472</v>
      </c>
      <c r="C269" s="2">
        <v>8</v>
      </c>
      <c r="D269" s="2">
        <v>1817</v>
      </c>
      <c r="E269">
        <v>9233</v>
      </c>
      <c r="F269" s="30">
        <v>137</v>
      </c>
      <c r="H269" s="2" t="s">
        <v>1540</v>
      </c>
      <c r="I269" s="2">
        <v>105436</v>
      </c>
      <c r="J269" s="2">
        <v>0</v>
      </c>
      <c r="K269" s="2" t="s">
        <v>874</v>
      </c>
      <c r="L269" s="43" t="s">
        <v>3856</v>
      </c>
      <c r="M269" s="41" t="s">
        <v>5316</v>
      </c>
      <c r="N269" s="41" t="s">
        <v>1551</v>
      </c>
      <c r="O269" s="41" t="s">
        <v>2650</v>
      </c>
      <c r="P269" s="41">
        <v>16</v>
      </c>
      <c r="Q269" s="41">
        <v>9</v>
      </c>
      <c r="S269" t="s">
        <v>3343</v>
      </c>
      <c r="T269" s="2" t="s">
        <v>2651</v>
      </c>
      <c r="V269" s="2" t="s">
        <v>1552</v>
      </c>
      <c r="W269" s="2"/>
      <c r="X269" s="2"/>
      <c r="Y269" s="2"/>
      <c r="Z269" s="2"/>
      <c r="AA269" s="2"/>
      <c r="AB269" s="2"/>
      <c r="AH269" t="s">
        <v>359</v>
      </c>
    </row>
    <row r="270" spans="1:34" ht="15.75">
      <c r="A270" s="29">
        <f t="shared" si="4"/>
        <v>355632</v>
      </c>
      <c r="B270" s="30">
        <v>589</v>
      </c>
      <c r="C270" s="30">
        <v>1</v>
      </c>
      <c r="D270" s="30">
        <v>1817</v>
      </c>
      <c r="E270">
        <v>12745</v>
      </c>
      <c r="F270" s="30">
        <v>137</v>
      </c>
      <c r="G270" s="29"/>
      <c r="H270" t="s">
        <v>1540</v>
      </c>
      <c r="I270" s="30">
        <v>103632</v>
      </c>
      <c r="J270" s="30">
        <v>12600</v>
      </c>
      <c r="K270" s="30" t="s">
        <v>874</v>
      </c>
      <c r="L270" s="43" t="s">
        <v>3856</v>
      </c>
      <c r="M270" s="41" t="s">
        <v>5316</v>
      </c>
      <c r="N270" s="41" t="s">
        <v>1555</v>
      </c>
      <c r="O270" s="41" t="s">
        <v>355</v>
      </c>
      <c r="P270" s="41">
        <v>16</v>
      </c>
      <c r="Q270" s="41">
        <v>9</v>
      </c>
      <c r="R270" s="41" t="s">
        <v>1547</v>
      </c>
      <c r="S270" t="s">
        <v>1547</v>
      </c>
      <c r="T270" t="s">
        <v>356</v>
      </c>
      <c r="V270" t="s">
        <v>1552</v>
      </c>
      <c r="X270">
        <v>1</v>
      </c>
      <c r="AH270" t="s">
        <v>359</v>
      </c>
    </row>
    <row r="271" spans="1:34" ht="15.75">
      <c r="A271" s="29">
        <f t="shared" si="4"/>
        <v>19000</v>
      </c>
      <c r="B271" s="10">
        <v>953</v>
      </c>
      <c r="C271">
        <v>5</v>
      </c>
      <c r="D271" s="8">
        <v>1817</v>
      </c>
      <c r="E271">
        <v>248</v>
      </c>
      <c r="F271" s="9">
        <v>138</v>
      </c>
      <c r="G271" s="9"/>
      <c r="H271" s="9" t="s">
        <v>1541</v>
      </c>
      <c r="I271" s="8">
        <v>0</v>
      </c>
      <c r="J271" s="8">
        <v>950</v>
      </c>
      <c r="K271" s="2" t="s">
        <v>864</v>
      </c>
      <c r="L271" t="s">
        <v>449</v>
      </c>
      <c r="M271" s="41" t="s">
        <v>3415</v>
      </c>
      <c r="O271" s="41" t="s">
        <v>3416</v>
      </c>
      <c r="P271" s="41">
        <v>28</v>
      </c>
      <c r="Q271" s="41">
        <v>5</v>
      </c>
      <c r="R271" s="41" t="s">
        <v>1199</v>
      </c>
      <c r="S271" s="11" t="s">
        <v>1547</v>
      </c>
      <c r="T271" s="11" t="s">
        <v>3417</v>
      </c>
      <c r="U271" s="11"/>
      <c r="V271" s="11" t="s">
        <v>1253</v>
      </c>
      <c r="W271" s="11"/>
      <c r="X271">
        <v>1</v>
      </c>
      <c r="Y271" t="s">
        <v>2988</v>
      </c>
      <c r="AH271" t="s">
        <v>359</v>
      </c>
    </row>
    <row r="272" spans="1:25" ht="12.75">
      <c r="A272" s="29">
        <f t="shared" si="4"/>
        <v>116786</v>
      </c>
      <c r="B272">
        <v>843</v>
      </c>
      <c r="C272">
        <v>6</v>
      </c>
      <c r="D272">
        <v>1817</v>
      </c>
      <c r="E272">
        <v>12757</v>
      </c>
      <c r="F272" s="9">
        <v>138</v>
      </c>
      <c r="H272" t="s">
        <v>850</v>
      </c>
      <c r="I272">
        <v>94786</v>
      </c>
      <c r="J272">
        <v>2200</v>
      </c>
      <c r="K272" t="s">
        <v>864</v>
      </c>
      <c r="L272" t="s">
        <v>449</v>
      </c>
      <c r="M272" t="s">
        <v>450</v>
      </c>
      <c r="N272"/>
      <c r="O272" t="s">
        <v>451</v>
      </c>
      <c r="P272">
        <v>28</v>
      </c>
      <c r="Q272">
        <v>5</v>
      </c>
      <c r="R272">
        <v>63</v>
      </c>
      <c r="S272" t="s">
        <v>3343</v>
      </c>
      <c r="T272" t="s">
        <v>1352</v>
      </c>
      <c r="V272" s="49" t="s">
        <v>452</v>
      </c>
      <c r="X272">
        <v>0.5</v>
      </c>
      <c r="Y272" t="s">
        <v>453</v>
      </c>
    </row>
    <row r="273" spans="1:34" ht="15.75">
      <c r="A273" s="29">
        <f t="shared" si="4"/>
        <v>38500</v>
      </c>
      <c r="B273" s="8">
        <v>643</v>
      </c>
      <c r="C273" s="2">
        <v>9</v>
      </c>
      <c r="D273" s="2">
        <v>1817</v>
      </c>
      <c r="E273">
        <v>6230</v>
      </c>
      <c r="F273" s="8">
        <v>139</v>
      </c>
      <c r="G273" s="7"/>
      <c r="H273" s="7" t="s">
        <v>1540</v>
      </c>
      <c r="I273" s="8">
        <v>0</v>
      </c>
      <c r="J273" s="8">
        <f>1800+2050</f>
        <v>3850</v>
      </c>
      <c r="K273" s="8" t="s">
        <v>864</v>
      </c>
      <c r="L273" s="43" t="s">
        <v>1803</v>
      </c>
      <c r="M273" s="41" t="s">
        <v>1543</v>
      </c>
      <c r="N273" s="41" t="s">
        <v>1555</v>
      </c>
      <c r="O273" s="41" t="s">
        <v>1805</v>
      </c>
      <c r="P273" s="41">
        <v>13</v>
      </c>
      <c r="Q273" s="41">
        <v>5</v>
      </c>
      <c r="R273" s="41" t="s">
        <v>1199</v>
      </c>
      <c r="S273" t="s">
        <v>1804</v>
      </c>
      <c r="T273" t="s">
        <v>3440</v>
      </c>
      <c r="V273" t="s">
        <v>1806</v>
      </c>
      <c r="X273">
        <v>0.5</v>
      </c>
      <c r="Y273" t="s">
        <v>4182</v>
      </c>
      <c r="AH273" t="s">
        <v>359</v>
      </c>
    </row>
    <row r="274" spans="1:27" ht="12.75">
      <c r="A274" s="29">
        <f t="shared" si="4"/>
        <v>4829</v>
      </c>
      <c r="B274">
        <v>843</v>
      </c>
      <c r="C274">
        <v>6</v>
      </c>
      <c r="D274">
        <v>1817</v>
      </c>
      <c r="E274">
        <v>12764</v>
      </c>
      <c r="F274">
        <v>139</v>
      </c>
      <c r="H274" t="s">
        <v>1549</v>
      </c>
      <c r="I274">
        <f>2904+1925</f>
        <v>4829</v>
      </c>
      <c r="K274" t="s">
        <v>864</v>
      </c>
      <c r="L274" t="s">
        <v>492</v>
      </c>
      <c r="M274"/>
      <c r="N274"/>
      <c r="O274"/>
      <c r="P274">
        <v>13</v>
      </c>
      <c r="Q274">
        <v>5</v>
      </c>
      <c r="R274">
        <v>67</v>
      </c>
      <c r="S274" t="s">
        <v>867</v>
      </c>
      <c r="V274" s="49" t="s">
        <v>493</v>
      </c>
      <c r="AA274" s="49" t="s">
        <v>494</v>
      </c>
    </row>
    <row r="275" spans="1:34" ht="15.75">
      <c r="A275" s="29">
        <f t="shared" si="4"/>
        <v>680</v>
      </c>
      <c r="B275" s="6">
        <v>413</v>
      </c>
      <c r="C275">
        <v>5</v>
      </c>
      <c r="D275" s="2">
        <v>1817</v>
      </c>
      <c r="E275">
        <v>60</v>
      </c>
      <c r="G275">
        <v>1</v>
      </c>
      <c r="H275" t="s">
        <v>850</v>
      </c>
      <c r="I275" s="2">
        <v>680</v>
      </c>
      <c r="J275" s="2">
        <v>0</v>
      </c>
      <c r="K275" s="2" t="s">
        <v>863</v>
      </c>
      <c r="L275" s="43" t="s">
        <v>3234</v>
      </c>
      <c r="P275" s="41">
        <v>4</v>
      </c>
      <c r="Q275" s="41">
        <v>5</v>
      </c>
      <c r="R275" s="41" t="s">
        <v>1547</v>
      </c>
      <c r="V275" t="s">
        <v>3237</v>
      </c>
      <c r="AH275" t="s">
        <v>359</v>
      </c>
    </row>
    <row r="276" spans="1:34" ht="15.75">
      <c r="A276" s="29">
        <f t="shared" si="4"/>
        <v>64000</v>
      </c>
      <c r="B276" s="6">
        <v>951</v>
      </c>
      <c r="C276">
        <v>5</v>
      </c>
      <c r="D276" s="2">
        <v>1817</v>
      </c>
      <c r="E276">
        <v>172</v>
      </c>
      <c r="G276">
        <v>1</v>
      </c>
      <c r="H276" t="s">
        <v>1540</v>
      </c>
      <c r="I276" s="2">
        <v>0</v>
      </c>
      <c r="J276" s="2">
        <v>3200</v>
      </c>
      <c r="K276" s="2" t="s">
        <v>884</v>
      </c>
      <c r="L276" s="43" t="s">
        <v>3115</v>
      </c>
      <c r="M276" s="41" t="s">
        <v>1275</v>
      </c>
      <c r="N276" s="41" t="s">
        <v>851</v>
      </c>
      <c r="O276" s="41" t="s">
        <v>1276</v>
      </c>
      <c r="P276" s="41">
        <v>8</v>
      </c>
      <c r="Q276" s="41">
        <v>8</v>
      </c>
      <c r="T276" t="s">
        <v>1274</v>
      </c>
      <c r="U276" t="s">
        <v>1276</v>
      </c>
      <c r="V276" t="s">
        <v>899</v>
      </c>
      <c r="X276">
        <v>1</v>
      </c>
      <c r="Y276" t="s">
        <v>3523</v>
      </c>
      <c r="AH276" t="s">
        <v>359</v>
      </c>
    </row>
    <row r="277" spans="1:34" ht="15.75">
      <c r="A277" s="29">
        <f t="shared" si="4"/>
        <v>24800</v>
      </c>
      <c r="B277" s="15">
        <v>834</v>
      </c>
      <c r="C277" s="15">
        <v>6</v>
      </c>
      <c r="D277" s="2">
        <v>1817</v>
      </c>
      <c r="E277">
        <v>3400</v>
      </c>
      <c r="F277" s="15"/>
      <c r="G277" s="15">
        <v>1</v>
      </c>
      <c r="H277" s="15" t="s">
        <v>1540</v>
      </c>
      <c r="I277" s="15">
        <v>24800</v>
      </c>
      <c r="J277" s="15">
        <v>0</v>
      </c>
      <c r="K277" s="15" t="s">
        <v>863</v>
      </c>
      <c r="L277" s="43" t="s">
        <v>1272</v>
      </c>
      <c r="M277" s="41" t="s">
        <v>1273</v>
      </c>
      <c r="N277" s="41" t="s">
        <v>1368</v>
      </c>
      <c r="O277" s="41" t="s">
        <v>2356</v>
      </c>
      <c r="P277" s="41">
        <v>27</v>
      </c>
      <c r="Q277" s="41">
        <v>8</v>
      </c>
      <c r="R277" s="41">
        <v>48</v>
      </c>
      <c r="S277" s="15" t="s">
        <v>2357</v>
      </c>
      <c r="T277" s="15" t="s">
        <v>3705</v>
      </c>
      <c r="U277" s="15"/>
      <c r="V277" s="15" t="s">
        <v>1271</v>
      </c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t="s">
        <v>359</v>
      </c>
    </row>
    <row r="278" spans="1:34" ht="15.75">
      <c r="A278" s="29">
        <f t="shared" si="4"/>
        <v>66100</v>
      </c>
      <c r="B278" s="15">
        <v>843</v>
      </c>
      <c r="C278" s="15">
        <v>6</v>
      </c>
      <c r="D278" s="2">
        <v>1817</v>
      </c>
      <c r="E278">
        <v>3843</v>
      </c>
      <c r="G278" s="15">
        <v>1</v>
      </c>
      <c r="H278" s="15" t="s">
        <v>1540</v>
      </c>
      <c r="I278" s="15">
        <v>66100</v>
      </c>
      <c r="J278" s="15">
        <v>0</v>
      </c>
      <c r="K278" s="15" t="s">
        <v>864</v>
      </c>
      <c r="L278" s="43" t="s">
        <v>2416</v>
      </c>
      <c r="M278" s="41" t="s">
        <v>2417</v>
      </c>
      <c r="N278" s="41" t="s">
        <v>2418</v>
      </c>
      <c r="O278" s="41" t="s">
        <v>2428</v>
      </c>
      <c r="P278" s="41">
        <v>31</v>
      </c>
      <c r="Q278" s="41">
        <v>10</v>
      </c>
      <c r="S278" s="15" t="s">
        <v>2429</v>
      </c>
      <c r="T278" s="15" t="s">
        <v>1274</v>
      </c>
      <c r="U278" s="15"/>
      <c r="V278" s="15" t="s">
        <v>2421</v>
      </c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t="s">
        <v>359</v>
      </c>
    </row>
    <row r="279" spans="1:34" ht="15.75">
      <c r="A279" s="29">
        <f t="shared" si="4"/>
        <v>18000</v>
      </c>
      <c r="B279" s="18">
        <v>868</v>
      </c>
      <c r="C279" s="15">
        <v>6</v>
      </c>
      <c r="D279" s="2">
        <v>1817</v>
      </c>
      <c r="E279">
        <v>4760</v>
      </c>
      <c r="F279" s="18"/>
      <c r="G279" s="18">
        <v>1</v>
      </c>
      <c r="H279" s="18" t="s">
        <v>1540</v>
      </c>
      <c r="I279" s="18">
        <v>0</v>
      </c>
      <c r="J279" s="18">
        <v>900</v>
      </c>
      <c r="K279" s="15" t="s">
        <v>867</v>
      </c>
      <c r="L279" s="43" t="s">
        <v>3736</v>
      </c>
      <c r="M279" s="41" t="s">
        <v>5316</v>
      </c>
      <c r="N279" s="41" t="s">
        <v>1551</v>
      </c>
      <c r="O279" s="41" t="s">
        <v>3737</v>
      </c>
      <c r="P279" s="41">
        <v>1</v>
      </c>
      <c r="Q279" s="41">
        <v>8</v>
      </c>
      <c r="S279" s="15" t="s">
        <v>1266</v>
      </c>
      <c r="T279" s="15" t="s">
        <v>3739</v>
      </c>
      <c r="U279" s="15" t="s">
        <v>3738</v>
      </c>
      <c r="V279" s="15" t="s">
        <v>3740</v>
      </c>
      <c r="W279" s="15"/>
      <c r="X279" s="15">
        <v>1</v>
      </c>
      <c r="Y279" s="15" t="s">
        <v>3741</v>
      </c>
      <c r="Z279" s="15"/>
      <c r="AA279" s="15"/>
      <c r="AB279" s="15"/>
      <c r="AC279" s="15"/>
      <c r="AD279" s="15"/>
      <c r="AE279" s="15"/>
      <c r="AF279" s="15"/>
      <c r="AG279" s="15"/>
      <c r="AH279" t="s">
        <v>359</v>
      </c>
    </row>
    <row r="280" spans="1:34" ht="15.75">
      <c r="A280" s="29">
        <f t="shared" si="4"/>
        <v>94</v>
      </c>
      <c r="B280" s="8">
        <v>643</v>
      </c>
      <c r="C280" s="2">
        <v>9</v>
      </c>
      <c r="D280" s="2">
        <v>1817</v>
      </c>
      <c r="E280">
        <v>6233</v>
      </c>
      <c r="F280" s="9"/>
      <c r="G280" s="7">
        <v>1</v>
      </c>
      <c r="H280" s="7" t="s">
        <v>1540</v>
      </c>
      <c r="I280" s="8">
        <v>94</v>
      </c>
      <c r="J280" s="8">
        <v>0</v>
      </c>
      <c r="K280" s="8" t="s">
        <v>864</v>
      </c>
      <c r="L280" s="43" t="s">
        <v>5724</v>
      </c>
      <c r="P280" s="41">
        <v>12</v>
      </c>
      <c r="Q280" s="41">
        <v>7</v>
      </c>
      <c r="R280" s="41" t="s">
        <v>1199</v>
      </c>
      <c r="S280" t="s">
        <v>3321</v>
      </c>
      <c r="AH280" t="s">
        <v>359</v>
      </c>
    </row>
    <row r="281" spans="1:34" ht="15.75">
      <c r="A281" s="29">
        <f t="shared" si="4"/>
        <v>0</v>
      </c>
      <c r="B281" s="2">
        <v>651</v>
      </c>
      <c r="C281" s="2">
        <v>9</v>
      </c>
      <c r="D281" s="2">
        <v>1817</v>
      </c>
      <c r="E281">
        <v>6592</v>
      </c>
      <c r="F281" s="2"/>
      <c r="G281" s="2">
        <v>1</v>
      </c>
      <c r="H281" s="2" t="s">
        <v>850</v>
      </c>
      <c r="I281" s="2">
        <v>0</v>
      </c>
      <c r="J281" s="2">
        <v>0</v>
      </c>
      <c r="K281" s="2" t="s">
        <v>865</v>
      </c>
      <c r="L281" s="43" t="s">
        <v>651</v>
      </c>
      <c r="P281" s="41">
        <v>6</v>
      </c>
      <c r="Q281" s="41">
        <v>3</v>
      </c>
      <c r="R281" s="41">
        <v>39</v>
      </c>
      <c r="S281" t="s">
        <v>3329</v>
      </c>
      <c r="V281" t="s">
        <v>708</v>
      </c>
      <c r="AH281" t="s">
        <v>359</v>
      </c>
    </row>
    <row r="282" spans="1:34" ht="15.75">
      <c r="A282" s="29">
        <f t="shared" si="4"/>
        <v>42680</v>
      </c>
      <c r="B282" s="2">
        <v>458</v>
      </c>
      <c r="C282" s="2">
        <v>8</v>
      </c>
      <c r="D282" s="2">
        <v>1817</v>
      </c>
      <c r="E282">
        <v>8754</v>
      </c>
      <c r="F282" s="2"/>
      <c r="G282" s="2">
        <v>1</v>
      </c>
      <c r="H282" t="s">
        <v>1540</v>
      </c>
      <c r="I282">
        <v>42680</v>
      </c>
      <c r="J282" s="2">
        <v>0</v>
      </c>
      <c r="K282" s="2" t="s">
        <v>867</v>
      </c>
      <c r="L282" s="43" t="s">
        <v>1550</v>
      </c>
      <c r="M282" s="41" t="s">
        <v>3159</v>
      </c>
      <c r="N282" s="41" t="s">
        <v>1551</v>
      </c>
      <c r="O282" s="41" t="s">
        <v>5591</v>
      </c>
      <c r="P282" s="41">
        <v>22</v>
      </c>
      <c r="Q282" s="41">
        <v>12</v>
      </c>
      <c r="R282" s="41">
        <v>91</v>
      </c>
      <c r="S282" t="s">
        <v>5592</v>
      </c>
      <c r="T282" t="s">
        <v>4646</v>
      </c>
      <c r="V282" t="s">
        <v>5593</v>
      </c>
      <c r="AH282" t="s">
        <v>359</v>
      </c>
    </row>
    <row r="283" spans="1:34" ht="15.75">
      <c r="A283" s="39">
        <f t="shared" si="4"/>
        <v>1289</v>
      </c>
      <c r="B283" s="30">
        <v>557</v>
      </c>
      <c r="C283" s="30">
        <v>1</v>
      </c>
      <c r="D283" s="30">
        <v>1817</v>
      </c>
      <c r="E283">
        <v>11668</v>
      </c>
      <c r="G283" s="30">
        <v>1</v>
      </c>
      <c r="H283" t="s">
        <v>1541</v>
      </c>
      <c r="I283" s="30">
        <v>1289</v>
      </c>
      <c r="J283" s="30">
        <v>0</v>
      </c>
      <c r="K283" s="30" t="s">
        <v>884</v>
      </c>
      <c r="L283" s="43" t="s">
        <v>5712</v>
      </c>
      <c r="P283" s="41">
        <v>3</v>
      </c>
      <c r="Q283" s="41">
        <v>4</v>
      </c>
      <c r="R283" s="41" t="s">
        <v>1547</v>
      </c>
      <c r="S283" t="s">
        <v>3321</v>
      </c>
      <c r="AH283" t="s">
        <v>359</v>
      </c>
    </row>
    <row r="284" spans="1:34" ht="15.75">
      <c r="A284" s="29">
        <f t="shared" si="4"/>
        <v>52</v>
      </c>
      <c r="B284" s="30">
        <v>568</v>
      </c>
      <c r="C284" s="30">
        <v>1</v>
      </c>
      <c r="D284" s="30">
        <v>1817</v>
      </c>
      <c r="E284">
        <v>12037</v>
      </c>
      <c r="G284" s="30">
        <v>1</v>
      </c>
      <c r="H284" t="s">
        <v>1541</v>
      </c>
      <c r="I284" s="30">
        <v>52</v>
      </c>
      <c r="J284" s="30">
        <v>0</v>
      </c>
      <c r="K284" s="30" t="s">
        <v>1549</v>
      </c>
      <c r="L284" s="43" t="s">
        <v>3320</v>
      </c>
      <c r="P284" s="41">
        <v>26</v>
      </c>
      <c r="Q284" s="41">
        <v>10</v>
      </c>
      <c r="R284" s="41" t="s">
        <v>1547</v>
      </c>
      <c r="S284" t="s">
        <v>874</v>
      </c>
      <c r="AH284" t="s">
        <v>359</v>
      </c>
    </row>
    <row r="285" spans="1:34" ht="12.75">
      <c r="A285" s="29" t="e">
        <f t="shared" si="4"/>
        <v>#VALUE!</v>
      </c>
      <c r="B285">
        <v>843</v>
      </c>
      <c r="C285">
        <v>6</v>
      </c>
      <c r="D285">
        <v>1817</v>
      </c>
      <c r="E285">
        <v>12759</v>
      </c>
      <c r="G285">
        <v>1</v>
      </c>
      <c r="H285" t="s">
        <v>850</v>
      </c>
      <c r="I285" s="50" t="s">
        <v>463</v>
      </c>
      <c r="K285" t="s">
        <v>864</v>
      </c>
      <c r="L285" t="s">
        <v>1793</v>
      </c>
      <c r="M285"/>
      <c r="N285"/>
      <c r="O285"/>
      <c r="P285">
        <v>10</v>
      </c>
      <c r="Q285">
        <v>4</v>
      </c>
      <c r="R285">
        <v>81</v>
      </c>
      <c r="S285" t="s">
        <v>1547</v>
      </c>
      <c r="V285" s="49" t="s">
        <v>464</v>
      </c>
      <c r="AH285" t="s">
        <v>463</v>
      </c>
    </row>
    <row r="286" spans="1:34" ht="15.75">
      <c r="A286" s="29">
        <f t="shared" si="4"/>
        <v>476</v>
      </c>
      <c r="B286" s="6">
        <v>936</v>
      </c>
      <c r="C286">
        <v>5</v>
      </c>
      <c r="D286" s="2">
        <v>1817</v>
      </c>
      <c r="E286">
        <v>3</v>
      </c>
      <c r="H286" t="s">
        <v>4655</v>
      </c>
      <c r="I286" s="2">
        <v>476</v>
      </c>
      <c r="J286" s="2">
        <v>0</v>
      </c>
      <c r="K286" s="2" t="s">
        <v>862</v>
      </c>
      <c r="L286" s="43" t="s">
        <v>3216</v>
      </c>
      <c r="P286" s="41">
        <v>10</v>
      </c>
      <c r="Q286" s="41">
        <v>1</v>
      </c>
      <c r="R286" s="41">
        <v>70</v>
      </c>
      <c r="AH286" t="s">
        <v>359</v>
      </c>
    </row>
    <row r="287" spans="1:34" ht="15.75">
      <c r="A287" s="29">
        <f t="shared" si="4"/>
        <v>17776</v>
      </c>
      <c r="B287" s="10">
        <v>937</v>
      </c>
      <c r="C287">
        <v>5</v>
      </c>
      <c r="D287" s="8">
        <v>1817</v>
      </c>
      <c r="E287">
        <v>4</v>
      </c>
      <c r="F287" s="9"/>
      <c r="G287" s="9"/>
      <c r="H287" s="9" t="s">
        <v>1541</v>
      </c>
      <c r="I287" s="8">
        <f>11851+5925</f>
        <v>17776</v>
      </c>
      <c r="J287" s="2">
        <v>0</v>
      </c>
      <c r="K287" s="2" t="s">
        <v>862</v>
      </c>
      <c r="L287" s="43" t="s">
        <v>3399</v>
      </c>
      <c r="M287" s="41" t="s">
        <v>3400</v>
      </c>
      <c r="O287" s="41" t="s">
        <v>3401</v>
      </c>
      <c r="P287" s="41">
        <v>30</v>
      </c>
      <c r="Q287" s="41">
        <v>1</v>
      </c>
      <c r="R287" s="41">
        <v>49</v>
      </c>
      <c r="S287" t="s">
        <v>3402</v>
      </c>
      <c r="T287" t="s">
        <v>3403</v>
      </c>
      <c r="V287" t="s">
        <v>3404</v>
      </c>
      <c r="AA287" t="s">
        <v>3405</v>
      </c>
      <c r="AH287" t="s">
        <v>359</v>
      </c>
    </row>
    <row r="288" spans="1:34" ht="15.75">
      <c r="A288" s="29">
        <f t="shared" si="4"/>
        <v>9412</v>
      </c>
      <c r="B288" s="6">
        <v>938</v>
      </c>
      <c r="C288">
        <v>5</v>
      </c>
      <c r="D288" s="2">
        <v>1817</v>
      </c>
      <c r="E288">
        <v>5</v>
      </c>
      <c r="H288" t="s">
        <v>1541</v>
      </c>
      <c r="I288" s="2">
        <f>1215+3657+600+940+3000</f>
        <v>9412</v>
      </c>
      <c r="J288" s="2">
        <v>0</v>
      </c>
      <c r="K288" s="2" t="s">
        <v>862</v>
      </c>
      <c r="L288" s="43" t="s">
        <v>3251</v>
      </c>
      <c r="P288" s="41">
        <v>3</v>
      </c>
      <c r="Q288" s="41">
        <v>3</v>
      </c>
      <c r="R288" s="41">
        <v>36</v>
      </c>
      <c r="AH288" t="s">
        <v>359</v>
      </c>
    </row>
    <row r="289" spans="1:34" ht="15.75">
      <c r="A289" s="29">
        <f t="shared" si="4"/>
        <v>1200</v>
      </c>
      <c r="B289" s="6">
        <v>413</v>
      </c>
      <c r="C289">
        <v>5</v>
      </c>
      <c r="D289" s="2">
        <v>1817</v>
      </c>
      <c r="E289">
        <v>6</v>
      </c>
      <c r="H289" t="s">
        <v>850</v>
      </c>
      <c r="I289" s="2">
        <v>1200</v>
      </c>
      <c r="J289" s="2">
        <v>0</v>
      </c>
      <c r="K289" s="2" t="s">
        <v>862</v>
      </c>
      <c r="L289" s="43" t="s">
        <v>4260</v>
      </c>
      <c r="P289" s="41">
        <v>12</v>
      </c>
      <c r="Q289" s="41">
        <v>3</v>
      </c>
      <c r="R289" s="41" t="s">
        <v>1547</v>
      </c>
      <c r="AH289" t="s">
        <v>359</v>
      </c>
    </row>
    <row r="290" spans="1:34" ht="15.75">
      <c r="A290" s="29">
        <f t="shared" si="4"/>
        <v>5105</v>
      </c>
      <c r="B290" s="6" t="s">
        <v>4261</v>
      </c>
      <c r="C290">
        <v>5</v>
      </c>
      <c r="D290" s="2">
        <v>1817</v>
      </c>
      <c r="E290">
        <v>7</v>
      </c>
      <c r="H290" t="s">
        <v>1540</v>
      </c>
      <c r="I290" s="2">
        <v>5105</v>
      </c>
      <c r="J290" s="2">
        <v>0</v>
      </c>
      <c r="K290" s="2" t="s">
        <v>862</v>
      </c>
      <c r="L290" s="43" t="s">
        <v>3217</v>
      </c>
      <c r="M290" s="41" t="s">
        <v>3218</v>
      </c>
      <c r="N290" s="41" t="s">
        <v>5853</v>
      </c>
      <c r="O290" s="41" t="s">
        <v>3219</v>
      </c>
      <c r="P290" s="41">
        <v>5</v>
      </c>
      <c r="Q290" s="41">
        <v>3</v>
      </c>
      <c r="R290" s="41">
        <v>75</v>
      </c>
      <c r="V290" t="s">
        <v>3220</v>
      </c>
      <c r="AH290" t="s">
        <v>359</v>
      </c>
    </row>
    <row r="291" spans="1:34" ht="15.75">
      <c r="A291" s="29">
        <f t="shared" si="4"/>
        <v>8922</v>
      </c>
      <c r="B291" s="6" t="s">
        <v>4262</v>
      </c>
      <c r="C291">
        <v>5</v>
      </c>
      <c r="D291" s="2">
        <v>1817</v>
      </c>
      <c r="E291">
        <v>9</v>
      </c>
      <c r="H291" t="s">
        <v>1540</v>
      </c>
      <c r="I291" s="2">
        <v>8922</v>
      </c>
      <c r="J291" s="2">
        <v>0</v>
      </c>
      <c r="K291" s="2" t="s">
        <v>862</v>
      </c>
      <c r="L291" s="43" t="s">
        <v>3209</v>
      </c>
      <c r="M291" s="41" t="s">
        <v>3210</v>
      </c>
      <c r="N291" s="41" t="s">
        <v>851</v>
      </c>
      <c r="O291" s="41" t="s">
        <v>3211</v>
      </c>
      <c r="P291" s="41">
        <v>2</v>
      </c>
      <c r="Q291" s="41">
        <v>4</v>
      </c>
      <c r="R291" s="41">
        <v>77</v>
      </c>
      <c r="V291" t="s">
        <v>3212</v>
      </c>
      <c r="AH291" t="s">
        <v>359</v>
      </c>
    </row>
    <row r="292" spans="1:34" ht="15.75">
      <c r="A292" s="29">
        <f t="shared" si="4"/>
        <v>12560</v>
      </c>
      <c r="B292" s="6">
        <v>413</v>
      </c>
      <c r="C292">
        <v>5</v>
      </c>
      <c r="D292" s="2">
        <v>1817</v>
      </c>
      <c r="E292">
        <v>10</v>
      </c>
      <c r="H292" t="s">
        <v>1549</v>
      </c>
      <c r="I292" s="2"/>
      <c r="J292" s="2">
        <f>+(2200+10360)/20</f>
        <v>628</v>
      </c>
      <c r="K292" s="2" t="s">
        <v>862</v>
      </c>
      <c r="L292" s="43" t="s">
        <v>4254</v>
      </c>
      <c r="M292" s="41" t="s">
        <v>4263</v>
      </c>
      <c r="N292" s="41" t="s">
        <v>851</v>
      </c>
      <c r="O292" s="41" t="s">
        <v>4264</v>
      </c>
      <c r="P292" s="41">
        <v>19</v>
      </c>
      <c r="Q292" s="41">
        <v>4</v>
      </c>
      <c r="R292" s="41" t="s">
        <v>1199</v>
      </c>
      <c r="V292" t="s">
        <v>4265</v>
      </c>
      <c r="X292">
        <v>1</v>
      </c>
      <c r="AH292" t="s">
        <v>359</v>
      </c>
    </row>
    <row r="293" spans="1:34" ht="15.75">
      <c r="A293" s="29">
        <f t="shared" si="4"/>
        <v>429</v>
      </c>
      <c r="B293" s="6" t="s">
        <v>4261</v>
      </c>
      <c r="C293">
        <v>5</v>
      </c>
      <c r="D293" s="2">
        <v>1817</v>
      </c>
      <c r="E293">
        <v>11</v>
      </c>
      <c r="H293" t="s">
        <v>1540</v>
      </c>
      <c r="I293" s="2">
        <v>429</v>
      </c>
      <c r="J293" s="2">
        <v>0</v>
      </c>
      <c r="K293" s="2" t="s">
        <v>862</v>
      </c>
      <c r="L293" s="43" t="s">
        <v>3214</v>
      </c>
      <c r="M293" s="41" t="s">
        <v>1098</v>
      </c>
      <c r="N293" s="41" t="s">
        <v>3215</v>
      </c>
      <c r="O293" s="41" t="s">
        <v>3181</v>
      </c>
      <c r="P293" s="41">
        <v>7</v>
      </c>
      <c r="Q293" s="41">
        <v>5</v>
      </c>
      <c r="R293" s="41" t="s">
        <v>1199</v>
      </c>
      <c r="T293" t="s">
        <v>3389</v>
      </c>
      <c r="V293" t="s">
        <v>1278</v>
      </c>
      <c r="AH293" t="s">
        <v>359</v>
      </c>
    </row>
    <row r="294" spans="1:34" ht="15.75">
      <c r="A294" s="29">
        <f t="shared" si="4"/>
        <v>379</v>
      </c>
      <c r="B294" s="6">
        <v>938</v>
      </c>
      <c r="C294">
        <v>5</v>
      </c>
      <c r="D294" s="2">
        <v>1817</v>
      </c>
      <c r="E294">
        <v>12</v>
      </c>
      <c r="H294" t="s">
        <v>1541</v>
      </c>
      <c r="I294" s="2">
        <v>379</v>
      </c>
      <c r="J294" s="2">
        <v>0</v>
      </c>
      <c r="K294" s="2" t="s">
        <v>862</v>
      </c>
      <c r="L294" s="43" t="s">
        <v>3263</v>
      </c>
      <c r="P294" s="41">
        <v>18</v>
      </c>
      <c r="Q294" s="41">
        <v>6</v>
      </c>
      <c r="R294" s="41">
        <v>64</v>
      </c>
      <c r="S294" t="s">
        <v>3261</v>
      </c>
      <c r="AH294" t="s">
        <v>359</v>
      </c>
    </row>
    <row r="295" spans="1:34" ht="15.75">
      <c r="A295" s="29">
        <f t="shared" si="4"/>
        <v>1098</v>
      </c>
      <c r="B295" s="6">
        <v>413</v>
      </c>
      <c r="C295">
        <v>5</v>
      </c>
      <c r="D295" s="2">
        <v>1817</v>
      </c>
      <c r="E295">
        <v>13</v>
      </c>
      <c r="H295" t="s">
        <v>1541</v>
      </c>
      <c r="I295" s="2">
        <v>1098</v>
      </c>
      <c r="J295" s="2"/>
      <c r="K295" s="2" t="s">
        <v>862</v>
      </c>
      <c r="L295" s="43" t="s">
        <v>4266</v>
      </c>
      <c r="M295" s="41" t="s">
        <v>4267</v>
      </c>
      <c r="N295" s="41" t="s">
        <v>1545</v>
      </c>
      <c r="O295" s="41" t="s">
        <v>4268</v>
      </c>
      <c r="P295" s="41">
        <v>18</v>
      </c>
      <c r="Q295" s="41">
        <v>6</v>
      </c>
      <c r="R295" s="41" t="s">
        <v>1199</v>
      </c>
      <c r="AH295" t="s">
        <v>359</v>
      </c>
    </row>
    <row r="296" spans="1:34" ht="15.75">
      <c r="A296" s="29">
        <f t="shared" si="4"/>
        <v>79</v>
      </c>
      <c r="B296" s="6">
        <v>937</v>
      </c>
      <c r="C296">
        <v>5</v>
      </c>
      <c r="D296" s="2">
        <v>1817</v>
      </c>
      <c r="E296">
        <v>15</v>
      </c>
      <c r="H296" t="s">
        <v>1540</v>
      </c>
      <c r="I296" s="2">
        <v>79</v>
      </c>
      <c r="J296" s="2">
        <v>0</v>
      </c>
      <c r="K296" s="2" t="s">
        <v>862</v>
      </c>
      <c r="L296" s="43" t="s">
        <v>3207</v>
      </c>
      <c r="P296" s="41">
        <v>5</v>
      </c>
      <c r="Q296" s="41">
        <v>7</v>
      </c>
      <c r="R296" s="41">
        <v>19</v>
      </c>
      <c r="AH296" t="s">
        <v>359</v>
      </c>
    </row>
    <row r="297" spans="1:34" ht="15.75">
      <c r="A297" s="29">
        <f t="shared" si="4"/>
        <v>40000</v>
      </c>
      <c r="B297" s="6">
        <v>938</v>
      </c>
      <c r="C297">
        <v>5</v>
      </c>
      <c r="D297" s="2">
        <v>1817</v>
      </c>
      <c r="E297">
        <v>16</v>
      </c>
      <c r="H297" t="s">
        <v>1541</v>
      </c>
      <c r="I297" s="2">
        <v>40000</v>
      </c>
      <c r="J297" s="2">
        <v>0</v>
      </c>
      <c r="K297" s="2" t="s">
        <v>862</v>
      </c>
      <c r="L297" s="43" t="s">
        <v>3161</v>
      </c>
      <c r="M297" s="41" t="s">
        <v>3162</v>
      </c>
      <c r="O297" s="41" t="s">
        <v>3163</v>
      </c>
      <c r="P297" s="41">
        <v>7</v>
      </c>
      <c r="Q297" s="41">
        <v>8</v>
      </c>
      <c r="R297" s="41">
        <v>78</v>
      </c>
      <c r="S297" t="s">
        <v>3164</v>
      </c>
      <c r="T297" t="s">
        <v>1274</v>
      </c>
      <c r="V297" t="s">
        <v>3165</v>
      </c>
      <c r="AH297" t="s">
        <v>359</v>
      </c>
    </row>
    <row r="298" spans="1:34" ht="15.75">
      <c r="A298" s="29">
        <f t="shared" si="4"/>
        <v>21</v>
      </c>
      <c r="B298" s="6">
        <v>936</v>
      </c>
      <c r="C298">
        <v>5</v>
      </c>
      <c r="D298" s="2">
        <v>1817</v>
      </c>
      <c r="E298">
        <v>17</v>
      </c>
      <c r="H298" t="s">
        <v>1541</v>
      </c>
      <c r="I298" s="2">
        <v>21</v>
      </c>
      <c r="J298" s="2">
        <v>0</v>
      </c>
      <c r="K298" s="2" t="s">
        <v>862</v>
      </c>
      <c r="L298" s="43" t="s">
        <v>3221</v>
      </c>
      <c r="P298" s="41">
        <v>10</v>
      </c>
      <c r="Q298" s="41">
        <v>8</v>
      </c>
      <c r="R298" s="41">
        <v>40</v>
      </c>
      <c r="AH298" t="s">
        <v>359</v>
      </c>
    </row>
    <row r="299" spans="1:34" ht="15.75">
      <c r="A299" s="29">
        <f t="shared" si="4"/>
        <v>2156</v>
      </c>
      <c r="B299" s="6" t="s">
        <v>4269</v>
      </c>
      <c r="C299">
        <v>5</v>
      </c>
      <c r="D299" s="2">
        <v>1817</v>
      </c>
      <c r="E299">
        <v>18</v>
      </c>
      <c r="H299" t="s">
        <v>1540</v>
      </c>
      <c r="I299" s="2">
        <v>2156</v>
      </c>
      <c r="J299" s="2">
        <v>0</v>
      </c>
      <c r="K299" s="2" t="s">
        <v>862</v>
      </c>
      <c r="L299" s="43" t="s">
        <v>3252</v>
      </c>
      <c r="M299" s="41" t="s">
        <v>1543</v>
      </c>
      <c r="N299" s="41" t="s">
        <v>5938</v>
      </c>
      <c r="O299" s="41" t="s">
        <v>3253</v>
      </c>
      <c r="P299" s="41">
        <v>20</v>
      </c>
      <c r="Q299" s="41">
        <v>9</v>
      </c>
      <c r="R299" s="41" t="s">
        <v>1199</v>
      </c>
      <c r="U299" t="s">
        <v>3254</v>
      </c>
      <c r="V299" t="s">
        <v>3255</v>
      </c>
      <c r="AH299" t="s">
        <v>359</v>
      </c>
    </row>
    <row r="300" spans="1:34" ht="15.75">
      <c r="A300" s="29">
        <f t="shared" si="4"/>
        <v>81</v>
      </c>
      <c r="B300" s="6" t="s">
        <v>4262</v>
      </c>
      <c r="C300">
        <v>5</v>
      </c>
      <c r="D300" s="2">
        <v>1817</v>
      </c>
      <c r="E300">
        <v>19</v>
      </c>
      <c r="H300" t="s">
        <v>1541</v>
      </c>
      <c r="I300" s="2">
        <v>81</v>
      </c>
      <c r="J300" s="2">
        <v>0</v>
      </c>
      <c r="K300" s="2" t="s">
        <v>862</v>
      </c>
      <c r="L300" s="43" t="s">
        <v>3203</v>
      </c>
      <c r="M300" s="41" t="s">
        <v>2772</v>
      </c>
      <c r="O300" s="41" t="s">
        <v>3206</v>
      </c>
      <c r="P300" s="41">
        <v>5</v>
      </c>
      <c r="Q300" s="41">
        <v>10</v>
      </c>
      <c r="R300" s="41">
        <v>80</v>
      </c>
      <c r="V300" t="s">
        <v>1303</v>
      </c>
      <c r="AH300" t="s">
        <v>359</v>
      </c>
    </row>
    <row r="301" spans="1:34" ht="15.75">
      <c r="A301" s="29">
        <f t="shared" si="4"/>
        <v>1109</v>
      </c>
      <c r="B301" s="6">
        <v>938</v>
      </c>
      <c r="C301">
        <v>5</v>
      </c>
      <c r="D301" s="2">
        <v>1817</v>
      </c>
      <c r="E301">
        <v>20</v>
      </c>
      <c r="H301" t="s">
        <v>1541</v>
      </c>
      <c r="I301" s="2">
        <v>1109</v>
      </c>
      <c r="J301" s="2">
        <v>0</v>
      </c>
      <c r="K301" s="2" t="s">
        <v>862</v>
      </c>
      <c r="L301" s="43" t="s">
        <v>3262</v>
      </c>
      <c r="P301" s="41">
        <v>7</v>
      </c>
      <c r="Q301" s="41">
        <v>11</v>
      </c>
      <c r="R301" s="41">
        <v>77</v>
      </c>
      <c r="S301" t="s">
        <v>3343</v>
      </c>
      <c r="AH301" t="s">
        <v>359</v>
      </c>
    </row>
    <row r="302" spans="1:34" ht="15.75">
      <c r="A302" s="29">
        <f t="shared" si="4"/>
        <v>1240</v>
      </c>
      <c r="B302" s="6">
        <v>938</v>
      </c>
      <c r="C302">
        <v>5</v>
      </c>
      <c r="D302" s="2">
        <v>1817</v>
      </c>
      <c r="E302">
        <v>22</v>
      </c>
      <c r="H302" t="s">
        <v>1540</v>
      </c>
      <c r="I302" s="2">
        <v>1240</v>
      </c>
      <c r="J302" s="2">
        <v>0</v>
      </c>
      <c r="K302" s="2" t="s">
        <v>862</v>
      </c>
      <c r="L302" s="43" t="s">
        <v>3251</v>
      </c>
      <c r="P302" s="41">
        <v>10</v>
      </c>
      <c r="Q302" s="41">
        <v>12</v>
      </c>
      <c r="R302" s="41">
        <v>30</v>
      </c>
      <c r="AH302" t="s">
        <v>359</v>
      </c>
    </row>
    <row r="303" spans="1:34" ht="15.75">
      <c r="A303" s="29">
        <f t="shared" si="4"/>
        <v>300</v>
      </c>
      <c r="B303" s="6">
        <v>937</v>
      </c>
      <c r="C303">
        <v>5</v>
      </c>
      <c r="D303" s="2">
        <v>1817</v>
      </c>
      <c r="E303">
        <v>23</v>
      </c>
      <c r="H303" t="s">
        <v>1541</v>
      </c>
      <c r="I303" s="2">
        <v>300</v>
      </c>
      <c r="J303" s="2">
        <v>0</v>
      </c>
      <c r="K303" s="2" t="s">
        <v>862</v>
      </c>
      <c r="L303" s="43" t="s">
        <v>3209</v>
      </c>
      <c r="M303" s="43" t="s">
        <v>1371</v>
      </c>
      <c r="P303" s="41">
        <v>11</v>
      </c>
      <c r="Q303" s="41">
        <v>12</v>
      </c>
      <c r="R303" s="41">
        <v>72</v>
      </c>
      <c r="AH303" t="s">
        <v>359</v>
      </c>
    </row>
    <row r="304" spans="1:34" ht="15.75">
      <c r="A304" s="29">
        <f t="shared" si="4"/>
        <v>589</v>
      </c>
      <c r="B304" s="6">
        <v>937</v>
      </c>
      <c r="C304">
        <v>5</v>
      </c>
      <c r="D304" s="2">
        <v>1817</v>
      </c>
      <c r="E304">
        <v>24</v>
      </c>
      <c r="H304" t="s">
        <v>1540</v>
      </c>
      <c r="I304" s="2">
        <v>589</v>
      </c>
      <c r="J304" s="2">
        <v>0</v>
      </c>
      <c r="K304" s="2" t="s">
        <v>862</v>
      </c>
      <c r="L304" s="43" t="s">
        <v>3208</v>
      </c>
      <c r="P304" s="41">
        <v>12</v>
      </c>
      <c r="Q304" s="41">
        <v>12</v>
      </c>
      <c r="R304" s="41">
        <v>69</v>
      </c>
      <c r="AH304" t="s">
        <v>359</v>
      </c>
    </row>
    <row r="305" spans="1:34" ht="15.75">
      <c r="A305" s="29">
        <f t="shared" si="4"/>
        <v>1271</v>
      </c>
      <c r="B305" s="6">
        <v>938</v>
      </c>
      <c r="C305">
        <v>5</v>
      </c>
      <c r="D305" s="2">
        <v>1817</v>
      </c>
      <c r="E305">
        <v>25</v>
      </c>
      <c r="H305" t="s">
        <v>1540</v>
      </c>
      <c r="I305" s="2">
        <v>1271</v>
      </c>
      <c r="J305" s="2">
        <v>0</v>
      </c>
      <c r="K305" s="2" t="s">
        <v>862</v>
      </c>
      <c r="L305" s="43" t="s">
        <v>3251</v>
      </c>
      <c r="P305" s="41">
        <v>23</v>
      </c>
      <c r="Q305" s="41">
        <v>12</v>
      </c>
      <c r="R305" s="41">
        <v>17</v>
      </c>
      <c r="AH305" t="s">
        <v>359</v>
      </c>
    </row>
    <row r="306" spans="1:34" ht="15.75">
      <c r="A306" s="29">
        <f t="shared" si="4"/>
        <v>35858</v>
      </c>
      <c r="B306" s="6" t="s">
        <v>4269</v>
      </c>
      <c r="C306">
        <v>5</v>
      </c>
      <c r="D306" s="2">
        <v>1817</v>
      </c>
      <c r="E306">
        <v>26</v>
      </c>
      <c r="H306" t="s">
        <v>1541</v>
      </c>
      <c r="I306" s="2">
        <v>7858</v>
      </c>
      <c r="J306" s="2">
        <f>56000/20</f>
        <v>2800</v>
      </c>
      <c r="K306" s="2" t="s">
        <v>863</v>
      </c>
      <c r="L306" s="43" t="s">
        <v>3264</v>
      </c>
      <c r="M306" s="41" t="s">
        <v>1693</v>
      </c>
      <c r="O306" s="41" t="s">
        <v>3265</v>
      </c>
      <c r="P306" s="41">
        <v>25</v>
      </c>
      <c r="Q306" s="41">
        <v>5</v>
      </c>
      <c r="R306" s="41" t="s">
        <v>1199</v>
      </c>
      <c r="V306" t="s">
        <v>3266</v>
      </c>
      <c r="X306">
        <v>0.5</v>
      </c>
      <c r="AH306" t="s">
        <v>359</v>
      </c>
    </row>
    <row r="307" spans="1:34" ht="15.75">
      <c r="A307" s="29">
        <f t="shared" si="4"/>
        <v>180</v>
      </c>
      <c r="B307" s="6">
        <v>939</v>
      </c>
      <c r="C307">
        <v>5</v>
      </c>
      <c r="D307" s="2">
        <v>1817</v>
      </c>
      <c r="E307">
        <v>27</v>
      </c>
      <c r="H307" t="s">
        <v>1540</v>
      </c>
      <c r="I307" s="2">
        <v>180</v>
      </c>
      <c r="J307" s="2">
        <v>0</v>
      </c>
      <c r="K307" s="2" t="s">
        <v>863</v>
      </c>
      <c r="L307" s="43" t="s">
        <v>1624</v>
      </c>
      <c r="P307" s="41">
        <v>4</v>
      </c>
      <c r="Q307" s="41">
        <v>1</v>
      </c>
      <c r="R307" s="41">
        <v>57</v>
      </c>
      <c r="AH307" t="s">
        <v>359</v>
      </c>
    </row>
    <row r="308" spans="1:34" ht="15.75">
      <c r="A308" s="29">
        <f t="shared" si="4"/>
        <v>3355</v>
      </c>
      <c r="B308" s="6">
        <v>941</v>
      </c>
      <c r="C308">
        <v>5</v>
      </c>
      <c r="D308" s="2">
        <v>1817</v>
      </c>
      <c r="E308">
        <v>28</v>
      </c>
      <c r="H308" t="s">
        <v>1540</v>
      </c>
      <c r="I308" s="2">
        <v>3355</v>
      </c>
      <c r="J308" s="2">
        <v>0</v>
      </c>
      <c r="K308" s="2" t="s">
        <v>863</v>
      </c>
      <c r="L308" s="43" t="s">
        <v>1676</v>
      </c>
      <c r="P308" s="41">
        <v>12</v>
      </c>
      <c r="Q308" s="41">
        <v>1</v>
      </c>
      <c r="R308" s="41">
        <v>56</v>
      </c>
      <c r="AH308" t="s">
        <v>359</v>
      </c>
    </row>
    <row r="309" spans="1:34" ht="15.75">
      <c r="A309" s="29">
        <f t="shared" si="4"/>
        <v>62</v>
      </c>
      <c r="B309" s="6">
        <v>938</v>
      </c>
      <c r="C309">
        <v>5</v>
      </c>
      <c r="D309" s="2">
        <v>1817</v>
      </c>
      <c r="E309">
        <v>29</v>
      </c>
      <c r="H309" t="s">
        <v>1541</v>
      </c>
      <c r="I309" s="2">
        <v>62</v>
      </c>
      <c r="J309" s="2">
        <v>0</v>
      </c>
      <c r="K309" s="2" t="s">
        <v>863</v>
      </c>
      <c r="L309" s="43" t="s">
        <v>3267</v>
      </c>
      <c r="P309" s="41">
        <v>20</v>
      </c>
      <c r="Q309" s="41">
        <v>1</v>
      </c>
      <c r="R309" s="41">
        <v>77</v>
      </c>
      <c r="AH309" t="s">
        <v>359</v>
      </c>
    </row>
    <row r="310" spans="1:34" ht="15.75">
      <c r="A310" s="29">
        <f t="shared" si="4"/>
        <v>15000</v>
      </c>
      <c r="B310" s="6" t="s">
        <v>4270</v>
      </c>
      <c r="C310">
        <v>5</v>
      </c>
      <c r="D310" s="2">
        <v>1817</v>
      </c>
      <c r="E310">
        <v>30</v>
      </c>
      <c r="H310" t="s">
        <v>1540</v>
      </c>
      <c r="I310" s="2">
        <v>5000</v>
      </c>
      <c r="J310" s="2">
        <f>20000/20</f>
        <v>1000</v>
      </c>
      <c r="K310" s="2" t="s">
        <v>863</v>
      </c>
      <c r="L310" s="43" t="s">
        <v>3185</v>
      </c>
      <c r="M310" s="41" t="s">
        <v>3186</v>
      </c>
      <c r="O310" s="41" t="s">
        <v>3187</v>
      </c>
      <c r="P310" s="41">
        <v>20</v>
      </c>
      <c r="Q310" s="41">
        <v>1</v>
      </c>
      <c r="R310" s="41" t="s">
        <v>1199</v>
      </c>
      <c r="U310" t="s">
        <v>3187</v>
      </c>
      <c r="V310" t="s">
        <v>3188</v>
      </c>
      <c r="X310">
        <v>0.5</v>
      </c>
      <c r="Y310" t="s">
        <v>4271</v>
      </c>
      <c r="AH310" t="s">
        <v>359</v>
      </c>
    </row>
    <row r="311" spans="1:34" ht="15.75">
      <c r="A311" s="29">
        <f t="shared" si="4"/>
        <v>83</v>
      </c>
      <c r="B311" s="6">
        <v>941</v>
      </c>
      <c r="C311">
        <v>5</v>
      </c>
      <c r="D311" s="2">
        <v>1817</v>
      </c>
      <c r="E311">
        <v>31</v>
      </c>
      <c r="H311" t="s">
        <v>1541</v>
      </c>
      <c r="I311" s="2">
        <v>83</v>
      </c>
      <c r="J311" s="2">
        <v>0</v>
      </c>
      <c r="K311" s="2" t="s">
        <v>863</v>
      </c>
      <c r="L311" s="43" t="s">
        <v>1677</v>
      </c>
      <c r="P311" s="41">
        <v>24</v>
      </c>
      <c r="Q311" s="41">
        <v>1</v>
      </c>
      <c r="R311" s="41">
        <v>66</v>
      </c>
      <c r="AH311" t="s">
        <v>359</v>
      </c>
    </row>
    <row r="312" spans="1:34" ht="15.75">
      <c r="A312" s="29">
        <f t="shared" si="4"/>
        <v>1777</v>
      </c>
      <c r="B312" s="6" t="s">
        <v>4272</v>
      </c>
      <c r="C312">
        <v>5</v>
      </c>
      <c r="D312" s="2">
        <v>1817</v>
      </c>
      <c r="E312">
        <v>32</v>
      </c>
      <c r="H312" t="s">
        <v>1540</v>
      </c>
      <c r="I312" s="2">
        <v>1777</v>
      </c>
      <c r="J312" s="2">
        <v>0</v>
      </c>
      <c r="K312" s="2" t="s">
        <v>863</v>
      </c>
      <c r="L312" s="43" t="s">
        <v>2723</v>
      </c>
      <c r="M312" s="41" t="s">
        <v>2724</v>
      </c>
      <c r="O312" s="41" t="s">
        <v>2725</v>
      </c>
      <c r="P312" s="41">
        <v>24</v>
      </c>
      <c r="Q312" s="41">
        <v>1</v>
      </c>
      <c r="R312" s="41">
        <v>63</v>
      </c>
      <c r="S312" t="s">
        <v>2726</v>
      </c>
      <c r="W312" t="s">
        <v>2727</v>
      </c>
      <c r="AH312" t="s">
        <v>359</v>
      </c>
    </row>
    <row r="313" spans="1:34" ht="15.75">
      <c r="A313" s="29">
        <f t="shared" si="4"/>
        <v>14964</v>
      </c>
      <c r="B313" s="6" t="s">
        <v>4273</v>
      </c>
      <c r="C313">
        <v>5</v>
      </c>
      <c r="D313" s="2">
        <v>1817</v>
      </c>
      <c r="E313">
        <v>33</v>
      </c>
      <c r="I313" s="2">
        <v>14964</v>
      </c>
      <c r="J313" s="2">
        <v>0</v>
      </c>
      <c r="K313" s="2" t="s">
        <v>863</v>
      </c>
      <c r="L313" s="43" t="s">
        <v>3018</v>
      </c>
      <c r="M313" s="41" t="s">
        <v>3019</v>
      </c>
      <c r="O313" s="41" t="s">
        <v>1670</v>
      </c>
      <c r="P313" s="41">
        <v>6</v>
      </c>
      <c r="Q313" s="41">
        <v>2</v>
      </c>
      <c r="U313" t="s">
        <v>3020</v>
      </c>
      <c r="V313" t="s">
        <v>1663</v>
      </c>
      <c r="AH313" t="s">
        <v>359</v>
      </c>
    </row>
    <row r="314" spans="1:34" ht="15.75">
      <c r="A314" s="29">
        <f t="shared" si="4"/>
        <v>164</v>
      </c>
      <c r="B314" s="6" t="s">
        <v>4270</v>
      </c>
      <c r="C314">
        <v>5</v>
      </c>
      <c r="D314" s="2">
        <v>1817</v>
      </c>
      <c r="E314">
        <v>34</v>
      </c>
      <c r="H314" t="s">
        <v>1541</v>
      </c>
      <c r="I314" s="2">
        <v>164</v>
      </c>
      <c r="J314" s="2">
        <v>0</v>
      </c>
      <c r="K314" s="2" t="s">
        <v>863</v>
      </c>
      <c r="L314" s="43" t="s">
        <v>3130</v>
      </c>
      <c r="M314" s="41" t="s">
        <v>1542</v>
      </c>
      <c r="N314" s="41" t="s">
        <v>3453</v>
      </c>
      <c r="O314" s="41" t="s">
        <v>3194</v>
      </c>
      <c r="P314" s="41">
        <v>7</v>
      </c>
      <c r="Q314" s="41">
        <v>2</v>
      </c>
      <c r="S314" t="s">
        <v>3343</v>
      </c>
      <c r="V314" t="s">
        <v>3414</v>
      </c>
      <c r="AH314" t="s">
        <v>359</v>
      </c>
    </row>
    <row r="315" spans="1:34" ht="15.75">
      <c r="A315" s="29">
        <f t="shared" si="4"/>
        <v>1200</v>
      </c>
      <c r="B315" s="6">
        <v>940</v>
      </c>
      <c r="C315">
        <v>5</v>
      </c>
      <c r="D315" s="2">
        <v>1817</v>
      </c>
      <c r="E315">
        <v>35</v>
      </c>
      <c r="H315" t="s">
        <v>1541</v>
      </c>
      <c r="I315" s="2">
        <v>1200</v>
      </c>
      <c r="J315" s="2">
        <v>0</v>
      </c>
      <c r="K315" s="2" t="s">
        <v>863</v>
      </c>
      <c r="L315" s="43" t="s">
        <v>1657</v>
      </c>
      <c r="P315" s="41">
        <v>17</v>
      </c>
      <c r="Q315" s="41">
        <v>2</v>
      </c>
      <c r="R315" s="41">
        <v>24</v>
      </c>
      <c r="AH315" t="s">
        <v>359</v>
      </c>
    </row>
    <row r="316" spans="1:34" ht="15.75">
      <c r="A316" s="29">
        <f t="shared" si="4"/>
        <v>2176</v>
      </c>
      <c r="B316" s="6" t="s">
        <v>4274</v>
      </c>
      <c r="C316">
        <v>5</v>
      </c>
      <c r="D316" s="2">
        <v>1817</v>
      </c>
      <c r="E316">
        <v>36</v>
      </c>
      <c r="H316" t="s">
        <v>1540</v>
      </c>
      <c r="I316" s="2">
        <v>151</v>
      </c>
      <c r="J316" s="2">
        <f>2025/20</f>
        <v>101.25</v>
      </c>
      <c r="K316" s="2" t="s">
        <v>863</v>
      </c>
      <c r="L316" s="43" t="s">
        <v>3093</v>
      </c>
      <c r="M316" s="41" t="s">
        <v>3094</v>
      </c>
      <c r="O316" s="41" t="s">
        <v>3098</v>
      </c>
      <c r="P316" s="41">
        <v>24</v>
      </c>
      <c r="Q316" s="41">
        <v>2</v>
      </c>
      <c r="R316" s="41">
        <v>5</v>
      </c>
      <c r="S316" t="s">
        <v>3392</v>
      </c>
      <c r="T316" t="s">
        <v>3095</v>
      </c>
      <c r="V316" t="s">
        <v>3096</v>
      </c>
      <c r="X316">
        <v>1</v>
      </c>
      <c r="Y316" t="s">
        <v>4275</v>
      </c>
      <c r="AH316" t="s">
        <v>359</v>
      </c>
    </row>
    <row r="317" spans="1:34" ht="15.75">
      <c r="A317" s="29">
        <f t="shared" si="4"/>
        <v>1500</v>
      </c>
      <c r="B317" s="6" t="s">
        <v>4276</v>
      </c>
      <c r="C317">
        <v>5</v>
      </c>
      <c r="D317" s="2">
        <v>1817</v>
      </c>
      <c r="E317">
        <v>37</v>
      </c>
      <c r="H317" t="s">
        <v>1541</v>
      </c>
      <c r="I317" s="2">
        <v>1500</v>
      </c>
      <c r="J317" s="2">
        <v>0</v>
      </c>
      <c r="K317" s="2" t="s">
        <v>863</v>
      </c>
      <c r="L317" s="43" t="s">
        <v>1652</v>
      </c>
      <c r="M317" s="41" t="s">
        <v>1653</v>
      </c>
      <c r="O317" s="41" t="s">
        <v>1654</v>
      </c>
      <c r="P317" s="41">
        <v>4</v>
      </c>
      <c r="Q317" s="41">
        <v>3</v>
      </c>
      <c r="R317" s="41">
        <v>36</v>
      </c>
      <c r="S317" t="s">
        <v>1655</v>
      </c>
      <c r="V317" t="s">
        <v>1664</v>
      </c>
      <c r="AH317" t="s">
        <v>359</v>
      </c>
    </row>
    <row r="318" spans="1:34" ht="15.75">
      <c r="A318" s="29">
        <f t="shared" si="4"/>
        <v>680</v>
      </c>
      <c r="B318" s="6" t="s">
        <v>4277</v>
      </c>
      <c r="C318">
        <v>5</v>
      </c>
      <c r="D318" s="2">
        <v>1817</v>
      </c>
      <c r="E318">
        <v>38</v>
      </c>
      <c r="H318" t="s">
        <v>1541</v>
      </c>
      <c r="I318" s="2">
        <v>680</v>
      </c>
      <c r="J318" s="2">
        <v>0</v>
      </c>
      <c r="K318" s="2" t="s">
        <v>863</v>
      </c>
      <c r="L318" s="43" t="s">
        <v>3234</v>
      </c>
      <c r="M318" s="41" t="s">
        <v>3441</v>
      </c>
      <c r="O318" s="41" t="s">
        <v>3235</v>
      </c>
      <c r="P318" s="41">
        <v>4</v>
      </c>
      <c r="Q318" s="41">
        <v>3</v>
      </c>
      <c r="R318" s="41">
        <v>74</v>
      </c>
      <c r="S318" t="s">
        <v>3236</v>
      </c>
      <c r="V318" t="s">
        <v>3237</v>
      </c>
      <c r="AH318" t="s">
        <v>359</v>
      </c>
    </row>
    <row r="319" spans="1:34" ht="15.75">
      <c r="A319" s="29">
        <f t="shared" si="4"/>
        <v>31</v>
      </c>
      <c r="B319" s="6">
        <v>940</v>
      </c>
      <c r="C319">
        <v>5</v>
      </c>
      <c r="D319" s="2">
        <v>1817</v>
      </c>
      <c r="E319">
        <v>39</v>
      </c>
      <c r="H319" t="s">
        <v>1541</v>
      </c>
      <c r="I319" s="2">
        <v>31</v>
      </c>
      <c r="J319" s="2">
        <v>0</v>
      </c>
      <c r="K319" s="2" t="s">
        <v>863</v>
      </c>
      <c r="L319" s="43" t="s">
        <v>1641</v>
      </c>
      <c r="P319" s="41">
        <v>5</v>
      </c>
      <c r="Q319" s="41">
        <v>3</v>
      </c>
      <c r="R319" s="41">
        <v>69</v>
      </c>
      <c r="AH319" t="s">
        <v>359</v>
      </c>
    </row>
    <row r="320" spans="1:34" ht="15.75">
      <c r="A320" s="29">
        <f t="shared" si="4"/>
        <v>1794</v>
      </c>
      <c r="B320" s="6" t="s">
        <v>4269</v>
      </c>
      <c r="C320">
        <v>5</v>
      </c>
      <c r="D320" s="2">
        <v>1817</v>
      </c>
      <c r="E320">
        <v>40</v>
      </c>
      <c r="H320" t="s">
        <v>1541</v>
      </c>
      <c r="I320" s="2">
        <v>1794</v>
      </c>
      <c r="J320" s="2">
        <v>0</v>
      </c>
      <c r="K320" s="2" t="s">
        <v>863</v>
      </c>
      <c r="L320" s="43" t="s">
        <v>722</v>
      </c>
      <c r="M320" s="41" t="s">
        <v>1691</v>
      </c>
      <c r="N320" s="41" t="s">
        <v>3453</v>
      </c>
      <c r="O320" s="41" t="s">
        <v>1614</v>
      </c>
      <c r="P320" s="41">
        <v>9</v>
      </c>
      <c r="Q320" s="41">
        <v>3</v>
      </c>
      <c r="R320" s="41">
        <v>70</v>
      </c>
      <c r="S320" t="s">
        <v>1615</v>
      </c>
      <c r="V320" t="s">
        <v>1616</v>
      </c>
      <c r="AH320" t="s">
        <v>359</v>
      </c>
    </row>
    <row r="321" spans="1:34" ht="15.75">
      <c r="A321" s="29">
        <f t="shared" si="4"/>
        <v>1965</v>
      </c>
      <c r="B321" s="6" t="s">
        <v>4278</v>
      </c>
      <c r="C321">
        <v>5</v>
      </c>
      <c r="D321" s="2">
        <v>1817</v>
      </c>
      <c r="E321">
        <v>41</v>
      </c>
      <c r="H321" t="s">
        <v>1541</v>
      </c>
      <c r="I321" s="2">
        <v>1965</v>
      </c>
      <c r="J321" s="2">
        <v>0</v>
      </c>
      <c r="K321" s="2" t="s">
        <v>863</v>
      </c>
      <c r="L321" s="43" t="s">
        <v>1625</v>
      </c>
      <c r="M321" s="41" t="s">
        <v>1690</v>
      </c>
      <c r="O321" s="41" t="s">
        <v>1626</v>
      </c>
      <c r="P321" s="41">
        <v>17</v>
      </c>
      <c r="Q321" s="41">
        <v>3</v>
      </c>
      <c r="R321" s="41">
        <v>62</v>
      </c>
      <c r="S321" t="s">
        <v>1627</v>
      </c>
      <c r="V321" t="s">
        <v>4279</v>
      </c>
      <c r="AH321" t="s">
        <v>359</v>
      </c>
    </row>
    <row r="322" spans="1:34" ht="15.75">
      <c r="A322" s="29">
        <f aca="true" t="shared" si="5" ref="A322:A385">I322+J322*20*X322</f>
        <v>12000</v>
      </c>
      <c r="B322" s="6">
        <v>940</v>
      </c>
      <c r="C322">
        <v>5</v>
      </c>
      <c r="D322" s="2">
        <v>1817</v>
      </c>
      <c r="E322">
        <v>42</v>
      </c>
      <c r="H322" t="s">
        <v>1540</v>
      </c>
      <c r="I322" s="2">
        <v>0</v>
      </c>
      <c r="J322" s="2">
        <v>600</v>
      </c>
      <c r="K322" s="2" t="s">
        <v>863</v>
      </c>
      <c r="L322" s="43" t="s">
        <v>1657</v>
      </c>
      <c r="P322" s="41">
        <v>18</v>
      </c>
      <c r="Q322" s="41">
        <v>3</v>
      </c>
      <c r="R322" s="41" t="s">
        <v>1199</v>
      </c>
      <c r="X322">
        <v>1</v>
      </c>
      <c r="Y322" t="s">
        <v>2759</v>
      </c>
      <c r="AH322" t="s">
        <v>359</v>
      </c>
    </row>
    <row r="323" spans="1:34" ht="15.75">
      <c r="A323" s="29">
        <f t="shared" si="5"/>
        <v>50</v>
      </c>
      <c r="B323" s="6">
        <v>942</v>
      </c>
      <c r="C323">
        <v>5</v>
      </c>
      <c r="D323" s="2">
        <v>1817</v>
      </c>
      <c r="E323">
        <v>43</v>
      </c>
      <c r="H323" t="s">
        <v>1541</v>
      </c>
      <c r="I323" s="2">
        <v>50</v>
      </c>
      <c r="J323" s="2">
        <v>0</v>
      </c>
      <c r="K323" s="2" t="s">
        <v>863</v>
      </c>
      <c r="L323" s="43" t="s">
        <v>3231</v>
      </c>
      <c r="M323" s="41" t="s">
        <v>3232</v>
      </c>
      <c r="P323" s="41">
        <v>21</v>
      </c>
      <c r="Q323" s="41">
        <v>3</v>
      </c>
      <c r="R323" s="41">
        <v>20</v>
      </c>
      <c r="S323" t="s">
        <v>3233</v>
      </c>
      <c r="AH323" t="s">
        <v>359</v>
      </c>
    </row>
    <row r="324" spans="1:34" ht="15.75">
      <c r="A324" s="29">
        <f t="shared" si="5"/>
        <v>8423</v>
      </c>
      <c r="B324" s="6" t="s">
        <v>4274</v>
      </c>
      <c r="C324">
        <v>5</v>
      </c>
      <c r="D324" s="2">
        <v>1817</v>
      </c>
      <c r="E324">
        <v>45</v>
      </c>
      <c r="H324" t="s">
        <v>1540</v>
      </c>
      <c r="I324" s="2">
        <v>151</v>
      </c>
      <c r="J324" s="2">
        <f>8272/20</f>
        <v>413.6</v>
      </c>
      <c r="K324" s="2" t="s">
        <v>863</v>
      </c>
      <c r="L324" s="43" t="s">
        <v>3093</v>
      </c>
      <c r="M324" s="41" t="s">
        <v>3097</v>
      </c>
      <c r="N324" s="41" t="s">
        <v>3099</v>
      </c>
      <c r="O324" s="41" t="s">
        <v>3098</v>
      </c>
      <c r="P324" s="41">
        <v>25</v>
      </c>
      <c r="Q324" s="41">
        <v>3</v>
      </c>
      <c r="S324" t="s">
        <v>3100</v>
      </c>
      <c r="T324" t="s">
        <v>3440</v>
      </c>
      <c r="V324" t="s">
        <v>3101</v>
      </c>
      <c r="X324">
        <v>1</v>
      </c>
      <c r="Y324" t="s">
        <v>4275</v>
      </c>
      <c r="AH324" t="s">
        <v>359</v>
      </c>
    </row>
    <row r="325" spans="1:34" ht="15.75">
      <c r="A325" s="29">
        <f t="shared" si="5"/>
        <v>4792</v>
      </c>
      <c r="B325" s="6" t="s">
        <v>4281</v>
      </c>
      <c r="C325">
        <v>5</v>
      </c>
      <c r="D325" s="2">
        <v>1817</v>
      </c>
      <c r="E325">
        <v>46</v>
      </c>
      <c r="H325" t="s">
        <v>1540</v>
      </c>
      <c r="I325" s="2">
        <v>4792</v>
      </c>
      <c r="J325" s="2">
        <v>0</v>
      </c>
      <c r="K325" s="2" t="s">
        <v>863</v>
      </c>
      <c r="L325" s="43" t="s">
        <v>3025</v>
      </c>
      <c r="M325" s="43" t="s">
        <v>1298</v>
      </c>
      <c r="N325" s="41" t="s">
        <v>3026</v>
      </c>
      <c r="O325" s="41" t="s">
        <v>3027</v>
      </c>
      <c r="P325" s="43">
        <v>26</v>
      </c>
      <c r="Q325" s="43">
        <v>3</v>
      </c>
      <c r="R325" s="41">
        <v>61</v>
      </c>
      <c r="S325" s="12" t="s">
        <v>3028</v>
      </c>
      <c r="T325" t="s">
        <v>1262</v>
      </c>
      <c r="V325" s="12" t="s">
        <v>3029</v>
      </c>
      <c r="AH325" t="s">
        <v>359</v>
      </c>
    </row>
    <row r="326" spans="1:34" ht="15.75">
      <c r="A326" s="29">
        <f t="shared" si="5"/>
        <v>541</v>
      </c>
      <c r="B326" s="6">
        <v>939</v>
      </c>
      <c r="C326">
        <v>5</v>
      </c>
      <c r="D326" s="2">
        <v>1817</v>
      </c>
      <c r="E326">
        <v>47</v>
      </c>
      <c r="H326" t="s">
        <v>1540</v>
      </c>
      <c r="I326" s="2">
        <v>541</v>
      </c>
      <c r="J326" s="2">
        <v>0</v>
      </c>
      <c r="K326" s="2" t="s">
        <v>863</v>
      </c>
      <c r="L326" s="43" t="s">
        <v>1624</v>
      </c>
      <c r="P326" s="41">
        <v>29</v>
      </c>
      <c r="Q326" s="41">
        <v>3</v>
      </c>
      <c r="R326" s="41">
        <v>33</v>
      </c>
      <c r="AH326" t="s">
        <v>359</v>
      </c>
    </row>
    <row r="327" spans="1:34" ht="15.75">
      <c r="A327" s="29">
        <f t="shared" si="5"/>
        <v>6186</v>
      </c>
      <c r="B327" s="6" t="s">
        <v>4278</v>
      </c>
      <c r="C327">
        <v>5</v>
      </c>
      <c r="D327" s="2">
        <v>1817</v>
      </c>
      <c r="E327">
        <v>48</v>
      </c>
      <c r="H327" t="s">
        <v>1541</v>
      </c>
      <c r="I327" s="2">
        <v>186</v>
      </c>
      <c r="J327" s="2">
        <f>12000/20</f>
        <v>600</v>
      </c>
      <c r="K327" s="2" t="s">
        <v>863</v>
      </c>
      <c r="L327" s="43" t="s">
        <v>1628</v>
      </c>
      <c r="M327" s="41" t="s">
        <v>1694</v>
      </c>
      <c r="O327" s="41" t="s">
        <v>1629</v>
      </c>
      <c r="P327" s="41">
        <v>2</v>
      </c>
      <c r="Q327" s="41">
        <v>4</v>
      </c>
      <c r="R327" s="41">
        <v>34</v>
      </c>
      <c r="S327" t="s">
        <v>1630</v>
      </c>
      <c r="V327" t="s">
        <v>1513</v>
      </c>
      <c r="X327">
        <v>0.5</v>
      </c>
      <c r="AH327" t="s">
        <v>359</v>
      </c>
    </row>
    <row r="328" spans="1:34" ht="15.75">
      <c r="A328" s="29">
        <f t="shared" si="5"/>
        <v>480</v>
      </c>
      <c r="B328" s="6" t="s">
        <v>4273</v>
      </c>
      <c r="C328">
        <v>5</v>
      </c>
      <c r="D328" s="2">
        <v>1817</v>
      </c>
      <c r="E328">
        <v>49</v>
      </c>
      <c r="I328" s="2">
        <v>480</v>
      </c>
      <c r="J328" s="2">
        <v>0</v>
      </c>
      <c r="K328" s="2" t="s">
        <v>863</v>
      </c>
      <c r="L328" s="43" t="s">
        <v>3001</v>
      </c>
      <c r="M328" s="41" t="s">
        <v>3002</v>
      </c>
      <c r="O328" s="41" t="s">
        <v>3003</v>
      </c>
      <c r="P328" s="41">
        <v>14</v>
      </c>
      <c r="Q328" s="41">
        <v>4</v>
      </c>
      <c r="R328" s="41">
        <v>30</v>
      </c>
      <c r="S328" t="s">
        <v>3004</v>
      </c>
      <c r="V328" t="s">
        <v>3005</v>
      </c>
      <c r="AH328" t="s">
        <v>359</v>
      </c>
    </row>
    <row r="329" spans="1:34" ht="15.75">
      <c r="A329" s="29">
        <f t="shared" si="5"/>
        <v>7252</v>
      </c>
      <c r="B329" s="6">
        <v>940</v>
      </c>
      <c r="C329">
        <v>5</v>
      </c>
      <c r="D329" s="2">
        <v>1817</v>
      </c>
      <c r="E329">
        <v>50</v>
      </c>
      <c r="H329" t="s">
        <v>1540</v>
      </c>
      <c r="I329" s="2">
        <v>752</v>
      </c>
      <c r="J329" s="2">
        <f>6500/10</f>
        <v>650</v>
      </c>
      <c r="K329" s="2" t="s">
        <v>863</v>
      </c>
      <c r="L329" s="43" t="s">
        <v>1658</v>
      </c>
      <c r="P329" s="41">
        <v>16</v>
      </c>
      <c r="Q329" s="41">
        <v>4</v>
      </c>
      <c r="R329" s="41">
        <v>62</v>
      </c>
      <c r="X329">
        <v>0.5</v>
      </c>
      <c r="Y329" t="s">
        <v>2758</v>
      </c>
      <c r="AH329" t="s">
        <v>359</v>
      </c>
    </row>
    <row r="330" spans="1:34" ht="15.75">
      <c r="A330" s="29">
        <f t="shared" si="5"/>
        <v>61</v>
      </c>
      <c r="B330" s="6" t="s">
        <v>4278</v>
      </c>
      <c r="C330">
        <v>5</v>
      </c>
      <c r="D330" s="2">
        <v>1817</v>
      </c>
      <c r="E330">
        <v>51</v>
      </c>
      <c r="H330" t="s">
        <v>1541</v>
      </c>
      <c r="I330" s="2">
        <v>61</v>
      </c>
      <c r="J330" s="2">
        <v>0</v>
      </c>
      <c r="K330" s="2" t="s">
        <v>863</v>
      </c>
      <c r="L330" s="43" t="s">
        <v>1631</v>
      </c>
      <c r="M330" s="41" t="s">
        <v>1632</v>
      </c>
      <c r="O330" s="41" t="s">
        <v>1633</v>
      </c>
      <c r="P330" s="41">
        <v>19</v>
      </c>
      <c r="Q330" s="41">
        <v>4</v>
      </c>
      <c r="R330" s="41">
        <v>1</v>
      </c>
      <c r="S330" t="s">
        <v>3343</v>
      </c>
      <c r="V330" t="s">
        <v>4282</v>
      </c>
      <c r="AH330" t="s">
        <v>359</v>
      </c>
    </row>
    <row r="331" spans="1:34" ht="15.75">
      <c r="A331" s="29">
        <f t="shared" si="5"/>
        <v>168</v>
      </c>
      <c r="B331" s="6">
        <v>945</v>
      </c>
      <c r="C331">
        <v>5</v>
      </c>
      <c r="D331" s="2">
        <v>1817</v>
      </c>
      <c r="E331">
        <v>52</v>
      </c>
      <c r="H331" t="s">
        <v>1540</v>
      </c>
      <c r="I331" s="2">
        <v>168</v>
      </c>
      <c r="J331" s="2">
        <v>0</v>
      </c>
      <c r="K331" s="2" t="s">
        <v>863</v>
      </c>
      <c r="L331" s="43" t="s">
        <v>3017</v>
      </c>
      <c r="P331" s="41">
        <v>21</v>
      </c>
      <c r="Q331" s="41">
        <v>4</v>
      </c>
      <c r="R331" s="41">
        <v>83</v>
      </c>
      <c r="AH331" t="s">
        <v>359</v>
      </c>
    </row>
    <row r="332" spans="1:34" ht="15.75">
      <c r="A332" s="29">
        <f t="shared" si="5"/>
        <v>454</v>
      </c>
      <c r="B332" s="6" t="s">
        <v>4277</v>
      </c>
      <c r="C332">
        <v>5</v>
      </c>
      <c r="D332" s="2">
        <v>1817</v>
      </c>
      <c r="E332">
        <v>53</v>
      </c>
      <c r="H332" t="s">
        <v>1541</v>
      </c>
      <c r="I332" s="2">
        <v>454</v>
      </c>
      <c r="J332" s="2">
        <v>0</v>
      </c>
      <c r="K332" s="2" t="s">
        <v>863</v>
      </c>
      <c r="L332" s="43" t="s">
        <v>3238</v>
      </c>
      <c r="M332" s="41" t="s">
        <v>3239</v>
      </c>
      <c r="N332" s="41" t="s">
        <v>3453</v>
      </c>
      <c r="O332" s="41" t="s">
        <v>3240</v>
      </c>
      <c r="P332" s="41">
        <v>22</v>
      </c>
      <c r="Q332" s="41">
        <v>4</v>
      </c>
      <c r="R332" s="41">
        <v>88</v>
      </c>
      <c r="S332" t="s">
        <v>3241</v>
      </c>
      <c r="V332" t="s">
        <v>3370</v>
      </c>
      <c r="AH332" t="s">
        <v>359</v>
      </c>
    </row>
    <row r="333" spans="1:34" ht="15.75">
      <c r="A333" s="29">
        <f t="shared" si="5"/>
        <v>15</v>
      </c>
      <c r="B333" s="6">
        <v>944</v>
      </c>
      <c r="C333">
        <v>5</v>
      </c>
      <c r="D333" s="2">
        <v>1817</v>
      </c>
      <c r="E333">
        <v>54</v>
      </c>
      <c r="H333" t="s">
        <v>1541</v>
      </c>
      <c r="I333" s="2">
        <v>15</v>
      </c>
      <c r="J333" s="2">
        <v>0</v>
      </c>
      <c r="K333" s="2" t="s">
        <v>863</v>
      </c>
      <c r="L333" s="43" t="s">
        <v>2996</v>
      </c>
      <c r="P333" s="41">
        <v>22</v>
      </c>
      <c r="Q333" s="41">
        <v>4</v>
      </c>
      <c r="R333" s="41">
        <v>80</v>
      </c>
      <c r="AH333" t="s">
        <v>359</v>
      </c>
    </row>
    <row r="334" spans="1:34" ht="15.75">
      <c r="A334" s="29">
        <f t="shared" si="5"/>
        <v>17</v>
      </c>
      <c r="B334" s="6" t="s">
        <v>4269</v>
      </c>
      <c r="C334">
        <v>5</v>
      </c>
      <c r="D334" s="2">
        <v>1817</v>
      </c>
      <c r="E334">
        <v>55</v>
      </c>
      <c r="H334" t="s">
        <v>1540</v>
      </c>
      <c r="I334" s="2">
        <v>17</v>
      </c>
      <c r="J334" s="2">
        <v>0</v>
      </c>
      <c r="K334" s="2" t="s">
        <v>863</v>
      </c>
      <c r="L334" s="43" t="s">
        <v>4283</v>
      </c>
      <c r="M334" s="41" t="s">
        <v>1706</v>
      </c>
      <c r="N334" s="41" t="s">
        <v>3269</v>
      </c>
      <c r="O334" s="41" t="s">
        <v>3270</v>
      </c>
      <c r="P334" s="41">
        <v>25</v>
      </c>
      <c r="Q334" s="41">
        <v>4</v>
      </c>
      <c r="R334" s="41">
        <v>31</v>
      </c>
      <c r="S334" t="s">
        <v>3271</v>
      </c>
      <c r="V334" t="s">
        <v>1134</v>
      </c>
      <c r="AH334" t="s">
        <v>359</v>
      </c>
    </row>
    <row r="335" spans="1:34" ht="15.75">
      <c r="A335" s="29">
        <f t="shared" si="5"/>
        <v>40</v>
      </c>
      <c r="B335" s="6">
        <v>939</v>
      </c>
      <c r="C335">
        <v>5</v>
      </c>
      <c r="D335" s="2">
        <v>1817</v>
      </c>
      <c r="E335">
        <v>56</v>
      </c>
      <c r="H335" t="s">
        <v>4655</v>
      </c>
      <c r="I335" s="2">
        <v>40</v>
      </c>
      <c r="J335" s="2">
        <v>0</v>
      </c>
      <c r="K335" s="2" t="s">
        <v>863</v>
      </c>
      <c r="L335" s="43" t="s">
        <v>1622</v>
      </c>
      <c r="P335" s="41">
        <v>29</v>
      </c>
      <c r="Q335" s="41">
        <v>4</v>
      </c>
      <c r="R335" s="41">
        <v>59</v>
      </c>
      <c r="S335" t="s">
        <v>3343</v>
      </c>
      <c r="AH335" t="s">
        <v>359</v>
      </c>
    </row>
    <row r="336" spans="1:34" ht="15.75">
      <c r="A336" s="29">
        <f t="shared" si="5"/>
        <v>51</v>
      </c>
      <c r="B336" s="6">
        <v>940</v>
      </c>
      <c r="C336">
        <v>5</v>
      </c>
      <c r="D336" s="2">
        <v>1817</v>
      </c>
      <c r="E336">
        <v>57</v>
      </c>
      <c r="H336" t="s">
        <v>1540</v>
      </c>
      <c r="I336" s="2">
        <v>51</v>
      </c>
      <c r="J336" s="2">
        <v>0</v>
      </c>
      <c r="K336" s="2" t="s">
        <v>863</v>
      </c>
      <c r="L336" s="43" t="s">
        <v>1659</v>
      </c>
      <c r="P336" s="41">
        <v>29</v>
      </c>
      <c r="Q336" s="41">
        <v>4</v>
      </c>
      <c r="R336" s="41">
        <v>67</v>
      </c>
      <c r="AH336" t="s">
        <v>359</v>
      </c>
    </row>
    <row r="337" spans="1:34" ht="15.75">
      <c r="A337" s="29">
        <f t="shared" si="5"/>
        <v>1410</v>
      </c>
      <c r="B337" s="6" t="s">
        <v>4276</v>
      </c>
      <c r="C337">
        <v>5</v>
      </c>
      <c r="D337" s="2">
        <v>1817</v>
      </c>
      <c r="E337">
        <v>58</v>
      </c>
      <c r="H337" t="s">
        <v>1541</v>
      </c>
      <c r="I337" s="2">
        <f>910+500</f>
        <v>1410</v>
      </c>
      <c r="J337" s="2">
        <v>0</v>
      </c>
      <c r="K337" s="2" t="s">
        <v>863</v>
      </c>
      <c r="L337" s="43" t="s">
        <v>3369</v>
      </c>
      <c r="M337" s="41" t="s">
        <v>1660</v>
      </c>
      <c r="O337" s="41" t="s">
        <v>1661</v>
      </c>
      <c r="P337" s="41">
        <v>29</v>
      </c>
      <c r="Q337" s="41">
        <v>4</v>
      </c>
      <c r="R337" s="41">
        <v>80</v>
      </c>
      <c r="S337" t="s">
        <v>1662</v>
      </c>
      <c r="V337" t="s">
        <v>1663</v>
      </c>
      <c r="AH337" t="s">
        <v>359</v>
      </c>
    </row>
    <row r="338" spans="1:34" ht="15.75">
      <c r="A338" s="29">
        <f t="shared" si="5"/>
        <v>80</v>
      </c>
      <c r="B338" s="6">
        <v>940</v>
      </c>
      <c r="C338">
        <v>5</v>
      </c>
      <c r="D338" s="2">
        <v>1817</v>
      </c>
      <c r="E338">
        <v>59</v>
      </c>
      <c r="H338" t="s">
        <v>1541</v>
      </c>
      <c r="I338" s="2">
        <v>80</v>
      </c>
      <c r="J338" s="2">
        <v>0</v>
      </c>
      <c r="K338" s="2" t="s">
        <v>863</v>
      </c>
      <c r="L338" s="43" t="s">
        <v>1656</v>
      </c>
      <c r="P338" s="41">
        <v>2</v>
      </c>
      <c r="Q338" s="41">
        <v>5</v>
      </c>
      <c r="R338" s="41">
        <v>21</v>
      </c>
      <c r="S338" t="s">
        <v>3343</v>
      </c>
      <c r="AH338" t="s">
        <v>359</v>
      </c>
    </row>
    <row r="339" spans="1:34" ht="15.75">
      <c r="A339" s="29">
        <f t="shared" si="5"/>
        <v>4946</v>
      </c>
      <c r="B339" s="6">
        <v>413</v>
      </c>
      <c r="C339">
        <v>5</v>
      </c>
      <c r="D339" s="2">
        <v>1817</v>
      </c>
      <c r="E339">
        <v>61</v>
      </c>
      <c r="H339" t="s">
        <v>1549</v>
      </c>
      <c r="I339" s="2">
        <v>4946</v>
      </c>
      <c r="J339" s="2"/>
      <c r="K339" s="2" t="s">
        <v>863</v>
      </c>
      <c r="L339" s="43" t="s">
        <v>4284</v>
      </c>
      <c r="M339" s="41" t="s">
        <v>4285</v>
      </c>
      <c r="N339" s="41" t="s">
        <v>4286</v>
      </c>
      <c r="P339" s="41">
        <v>8</v>
      </c>
      <c r="Q339" s="41">
        <v>5</v>
      </c>
      <c r="R339" s="41" t="s">
        <v>1547</v>
      </c>
      <c r="V339" t="s">
        <v>4287</v>
      </c>
      <c r="AH339" t="s">
        <v>359</v>
      </c>
    </row>
    <row r="340" spans="1:34" ht="15.75">
      <c r="A340" s="29">
        <f t="shared" si="5"/>
        <v>60</v>
      </c>
      <c r="B340" s="6">
        <v>941</v>
      </c>
      <c r="C340">
        <v>5</v>
      </c>
      <c r="D340" s="2">
        <v>1817</v>
      </c>
      <c r="E340">
        <v>62</v>
      </c>
      <c r="H340" t="s">
        <v>1541</v>
      </c>
      <c r="I340" s="2">
        <v>60</v>
      </c>
      <c r="J340" s="2">
        <v>0</v>
      </c>
      <c r="K340" s="2" t="s">
        <v>863</v>
      </c>
      <c r="L340" s="43" t="s">
        <v>2731</v>
      </c>
      <c r="P340" s="41">
        <v>10</v>
      </c>
      <c r="Q340" s="41">
        <v>5</v>
      </c>
      <c r="R340" s="41">
        <v>30</v>
      </c>
      <c r="AH340" t="s">
        <v>359</v>
      </c>
    </row>
    <row r="341" spans="1:34" ht="15.75">
      <c r="A341" s="29">
        <f t="shared" si="5"/>
        <v>365</v>
      </c>
      <c r="B341" s="6" t="s">
        <v>4276</v>
      </c>
      <c r="C341">
        <v>5</v>
      </c>
      <c r="D341" s="2">
        <v>1817</v>
      </c>
      <c r="E341">
        <v>63</v>
      </c>
      <c r="H341" t="s">
        <v>1541</v>
      </c>
      <c r="I341" s="2">
        <v>365</v>
      </c>
      <c r="J341" s="2">
        <v>0</v>
      </c>
      <c r="K341" s="2" t="s">
        <v>863</v>
      </c>
      <c r="L341" s="43" t="s">
        <v>1642</v>
      </c>
      <c r="M341" s="41" t="s">
        <v>3566</v>
      </c>
      <c r="N341" s="41" t="s">
        <v>3130</v>
      </c>
      <c r="O341" s="41" t="s">
        <v>1643</v>
      </c>
      <c r="P341" s="41">
        <v>11</v>
      </c>
      <c r="Q341" s="41">
        <v>5</v>
      </c>
      <c r="R341" s="41">
        <v>48</v>
      </c>
      <c r="S341" t="s">
        <v>1645</v>
      </c>
      <c r="V341" t="s">
        <v>1644</v>
      </c>
      <c r="AH341" t="s">
        <v>359</v>
      </c>
    </row>
    <row r="342" spans="1:34" ht="15.75">
      <c r="A342" s="29">
        <f t="shared" si="5"/>
        <v>2580</v>
      </c>
      <c r="B342" s="6">
        <v>946</v>
      </c>
      <c r="C342">
        <v>5</v>
      </c>
      <c r="D342" s="2">
        <v>1817</v>
      </c>
      <c r="E342">
        <v>64</v>
      </c>
      <c r="H342" t="s">
        <v>1540</v>
      </c>
      <c r="I342" s="2">
        <v>2580</v>
      </c>
      <c r="J342" s="2">
        <v>0</v>
      </c>
      <c r="K342" s="2" t="s">
        <v>863</v>
      </c>
      <c r="L342" s="43" t="s">
        <v>3024</v>
      </c>
      <c r="P342" s="41">
        <v>14</v>
      </c>
      <c r="Q342" s="41">
        <v>5</v>
      </c>
      <c r="R342" s="41">
        <v>67</v>
      </c>
      <c r="AH342" t="s">
        <v>359</v>
      </c>
    </row>
    <row r="343" spans="1:34" ht="15.75">
      <c r="A343" s="29">
        <f t="shared" si="5"/>
        <v>23</v>
      </c>
      <c r="B343" s="6">
        <v>942</v>
      </c>
      <c r="C343">
        <v>5</v>
      </c>
      <c r="D343" s="2">
        <v>1817</v>
      </c>
      <c r="E343">
        <v>65</v>
      </c>
      <c r="H343" t="s">
        <v>1541</v>
      </c>
      <c r="I343" s="2">
        <v>23</v>
      </c>
      <c r="J343" s="2">
        <v>0</v>
      </c>
      <c r="K343" s="2" t="s">
        <v>863</v>
      </c>
      <c r="L343" s="43" t="s">
        <v>3243</v>
      </c>
      <c r="P343" s="41">
        <v>16</v>
      </c>
      <c r="Q343" s="41">
        <v>5</v>
      </c>
      <c r="R343" s="41">
        <v>44</v>
      </c>
      <c r="S343" t="s">
        <v>3244</v>
      </c>
      <c r="AH343" t="s">
        <v>359</v>
      </c>
    </row>
    <row r="344" spans="1:34" ht="15.75">
      <c r="A344" s="39">
        <f t="shared" si="5"/>
        <v>114</v>
      </c>
      <c r="B344" s="6" t="s">
        <v>4270</v>
      </c>
      <c r="C344">
        <v>5</v>
      </c>
      <c r="D344" s="2">
        <v>1817</v>
      </c>
      <c r="E344">
        <v>66</v>
      </c>
      <c r="H344" t="s">
        <v>1541</v>
      </c>
      <c r="I344" s="2">
        <v>114</v>
      </c>
      <c r="J344" s="2">
        <v>0</v>
      </c>
      <c r="K344" s="2" t="s">
        <v>863</v>
      </c>
      <c r="L344" s="43" t="s">
        <v>3190</v>
      </c>
      <c r="M344" s="41" t="s">
        <v>3191</v>
      </c>
      <c r="N344" s="41" t="s">
        <v>3192</v>
      </c>
      <c r="O344" s="41" t="s">
        <v>3193</v>
      </c>
      <c r="P344" s="41">
        <v>17</v>
      </c>
      <c r="Q344" s="41">
        <v>5</v>
      </c>
      <c r="R344" s="41">
        <v>61</v>
      </c>
      <c r="T344" t="s">
        <v>3384</v>
      </c>
      <c r="V344" t="s">
        <v>3195</v>
      </c>
      <c r="AH344" t="s">
        <v>359</v>
      </c>
    </row>
    <row r="345" spans="1:34" ht="15.75">
      <c r="A345" s="29">
        <f t="shared" si="5"/>
        <v>2023</v>
      </c>
      <c r="B345" s="6" t="s">
        <v>4270</v>
      </c>
      <c r="C345">
        <v>5</v>
      </c>
      <c r="D345" s="2">
        <v>1817</v>
      </c>
      <c r="E345">
        <v>67</v>
      </c>
      <c r="H345" t="s">
        <v>1541</v>
      </c>
      <c r="I345" s="2">
        <v>2023</v>
      </c>
      <c r="J345" s="2">
        <v>0</v>
      </c>
      <c r="K345" s="2" t="s">
        <v>863</v>
      </c>
      <c r="L345" s="43" t="s">
        <v>3178</v>
      </c>
      <c r="M345" s="41" t="s">
        <v>3566</v>
      </c>
      <c r="O345" s="41" t="s">
        <v>3182</v>
      </c>
      <c r="P345" s="41">
        <v>25</v>
      </c>
      <c r="Q345" s="41">
        <v>5</v>
      </c>
      <c r="R345" s="41">
        <v>38</v>
      </c>
      <c r="S345" t="s">
        <v>3183</v>
      </c>
      <c r="V345" t="s">
        <v>3370</v>
      </c>
      <c r="AH345" t="s">
        <v>359</v>
      </c>
    </row>
    <row r="346" spans="1:34" ht="15.75">
      <c r="A346" s="29">
        <f t="shared" si="5"/>
        <v>89</v>
      </c>
      <c r="B346" s="6">
        <v>938</v>
      </c>
      <c r="C346">
        <v>5</v>
      </c>
      <c r="D346" s="2">
        <v>1817</v>
      </c>
      <c r="E346">
        <v>68</v>
      </c>
      <c r="H346" t="s">
        <v>1541</v>
      </c>
      <c r="I346" s="2">
        <v>89</v>
      </c>
      <c r="J346" s="2">
        <v>0</v>
      </c>
      <c r="K346" s="2" t="s">
        <v>863</v>
      </c>
      <c r="L346" s="43" t="s">
        <v>3267</v>
      </c>
      <c r="P346" s="41">
        <v>27</v>
      </c>
      <c r="Q346" s="41">
        <v>5</v>
      </c>
      <c r="R346" s="41">
        <v>73</v>
      </c>
      <c r="S346" t="s">
        <v>3343</v>
      </c>
      <c r="AH346" t="s">
        <v>359</v>
      </c>
    </row>
    <row r="347" spans="1:34" ht="15.75">
      <c r="A347" s="29">
        <f t="shared" si="5"/>
        <v>4526</v>
      </c>
      <c r="B347" s="6">
        <v>940</v>
      </c>
      <c r="C347">
        <v>5</v>
      </c>
      <c r="D347" s="2">
        <v>1817</v>
      </c>
      <c r="E347">
        <v>69</v>
      </c>
      <c r="H347" t="s">
        <v>1540</v>
      </c>
      <c r="I347" s="2">
        <f>3581+945</f>
        <v>4526</v>
      </c>
      <c r="J347" s="2">
        <v>0</v>
      </c>
      <c r="K347" s="2" t="s">
        <v>863</v>
      </c>
      <c r="L347" s="43" t="s">
        <v>1638</v>
      </c>
      <c r="M347" s="41" t="s">
        <v>1639</v>
      </c>
      <c r="N347" s="41" t="s">
        <v>1640</v>
      </c>
      <c r="P347" s="41">
        <v>28</v>
      </c>
      <c r="Q347" s="41">
        <v>5</v>
      </c>
      <c r="R347" s="41">
        <v>53</v>
      </c>
      <c r="AH347" t="s">
        <v>359</v>
      </c>
    </row>
    <row r="348" spans="1:34" ht="15.75">
      <c r="A348" s="29">
        <f t="shared" si="5"/>
        <v>64</v>
      </c>
      <c r="B348" s="6">
        <v>942</v>
      </c>
      <c r="C348">
        <v>5</v>
      </c>
      <c r="D348" s="2">
        <v>1817</v>
      </c>
      <c r="E348">
        <v>70</v>
      </c>
      <c r="H348" t="s">
        <v>1541</v>
      </c>
      <c r="I348" s="2">
        <v>64</v>
      </c>
      <c r="J348" s="2">
        <v>0</v>
      </c>
      <c r="K348" s="2" t="s">
        <v>863</v>
      </c>
      <c r="L348" s="43" t="s">
        <v>3224</v>
      </c>
      <c r="M348" s="41" t="s">
        <v>1703</v>
      </c>
      <c r="P348" s="41">
        <v>30</v>
      </c>
      <c r="Q348" s="41">
        <v>5</v>
      </c>
      <c r="R348" s="41">
        <v>63</v>
      </c>
      <c r="S348" t="s">
        <v>3225</v>
      </c>
      <c r="AH348" t="s">
        <v>359</v>
      </c>
    </row>
    <row r="349" spans="1:34" ht="15.75">
      <c r="A349" s="29">
        <f t="shared" si="5"/>
        <v>1850</v>
      </c>
      <c r="B349" s="6">
        <v>938</v>
      </c>
      <c r="C349">
        <v>5</v>
      </c>
      <c r="D349" s="2">
        <v>1817</v>
      </c>
      <c r="E349">
        <v>71</v>
      </c>
      <c r="H349" t="s">
        <v>1541</v>
      </c>
      <c r="I349" s="2">
        <v>1850</v>
      </c>
      <c r="J349" s="2">
        <v>0</v>
      </c>
      <c r="K349" s="2" t="s">
        <v>863</v>
      </c>
      <c r="L349" s="43" t="s">
        <v>1617</v>
      </c>
      <c r="P349" s="41">
        <v>5</v>
      </c>
      <c r="Q349" s="41">
        <v>6</v>
      </c>
      <c r="R349" s="41">
        <v>26</v>
      </c>
      <c r="AH349" t="s">
        <v>359</v>
      </c>
    </row>
    <row r="350" spans="1:34" ht="15.75">
      <c r="A350" s="29">
        <f t="shared" si="5"/>
        <v>10</v>
      </c>
      <c r="B350" s="6">
        <v>940</v>
      </c>
      <c r="C350">
        <v>5</v>
      </c>
      <c r="D350" s="2">
        <v>1817</v>
      </c>
      <c r="E350">
        <v>72</v>
      </c>
      <c r="H350" t="s">
        <v>1541</v>
      </c>
      <c r="I350" s="2">
        <v>10</v>
      </c>
      <c r="J350" s="2">
        <v>0</v>
      </c>
      <c r="K350" s="2" t="s">
        <v>863</v>
      </c>
      <c r="L350" s="43" t="s">
        <v>2737</v>
      </c>
      <c r="P350" s="41">
        <v>9</v>
      </c>
      <c r="Q350" s="41">
        <v>6</v>
      </c>
      <c r="R350" s="41">
        <v>78</v>
      </c>
      <c r="AH350" t="s">
        <v>359</v>
      </c>
    </row>
    <row r="351" spans="1:34" ht="15.75">
      <c r="A351" s="29">
        <f t="shared" si="5"/>
        <v>32483</v>
      </c>
      <c r="B351" s="6" t="s">
        <v>4273</v>
      </c>
      <c r="C351">
        <v>5</v>
      </c>
      <c r="D351" s="2">
        <v>1817</v>
      </c>
      <c r="E351">
        <v>73</v>
      </c>
      <c r="I351" s="2">
        <v>32483</v>
      </c>
      <c r="J351" s="2">
        <v>0</v>
      </c>
      <c r="K351" s="2" t="s">
        <v>863</v>
      </c>
      <c r="L351" s="43" t="s">
        <v>3006</v>
      </c>
      <c r="M351" s="41" t="s">
        <v>3007</v>
      </c>
      <c r="O351" s="41" t="s">
        <v>3008</v>
      </c>
      <c r="P351" s="41">
        <v>10</v>
      </c>
      <c r="Q351" s="41">
        <v>6</v>
      </c>
      <c r="U351" t="s">
        <v>3009</v>
      </c>
      <c r="V351" t="s">
        <v>3010</v>
      </c>
      <c r="AH351" t="s">
        <v>359</v>
      </c>
    </row>
    <row r="352" spans="1:34" ht="15.75">
      <c r="A352" s="29">
        <f t="shared" si="5"/>
        <v>113</v>
      </c>
      <c r="B352" s="6">
        <v>942</v>
      </c>
      <c r="C352">
        <v>5</v>
      </c>
      <c r="D352" s="2">
        <v>1817</v>
      </c>
      <c r="E352">
        <v>74</v>
      </c>
      <c r="H352" t="s">
        <v>1541</v>
      </c>
      <c r="I352" s="2">
        <v>113</v>
      </c>
      <c r="J352" s="2">
        <v>0</v>
      </c>
      <c r="K352" s="2" t="s">
        <v>863</v>
      </c>
      <c r="L352" s="43" t="s">
        <v>3228</v>
      </c>
      <c r="M352" s="41" t="s">
        <v>3229</v>
      </c>
      <c r="P352" s="41">
        <v>16</v>
      </c>
      <c r="Q352" s="41">
        <v>6</v>
      </c>
      <c r="R352" s="41">
        <v>58</v>
      </c>
      <c r="S352" t="s">
        <v>3230</v>
      </c>
      <c r="AH352" t="s">
        <v>359</v>
      </c>
    </row>
    <row r="353" spans="1:34" ht="15.75">
      <c r="A353" s="29">
        <f t="shared" si="5"/>
        <v>1468</v>
      </c>
      <c r="B353" s="6" t="s">
        <v>4272</v>
      </c>
      <c r="C353">
        <v>5</v>
      </c>
      <c r="D353" s="2">
        <v>1817</v>
      </c>
      <c r="E353">
        <v>75</v>
      </c>
      <c r="H353" t="s">
        <v>1541</v>
      </c>
      <c r="I353" s="2">
        <v>1468</v>
      </c>
      <c r="J353" s="2">
        <v>0</v>
      </c>
      <c r="K353" s="2" t="s">
        <v>863</v>
      </c>
      <c r="L353" s="43" t="s">
        <v>2728</v>
      </c>
      <c r="M353" s="41" t="s">
        <v>3180</v>
      </c>
      <c r="N353" s="41" t="s">
        <v>3453</v>
      </c>
      <c r="O353" s="41" t="s">
        <v>2729</v>
      </c>
      <c r="P353" s="41">
        <v>24</v>
      </c>
      <c r="Q353" s="41">
        <v>6</v>
      </c>
      <c r="R353" s="41">
        <v>90</v>
      </c>
      <c r="S353" t="s">
        <v>3343</v>
      </c>
      <c r="W353" t="s">
        <v>2730</v>
      </c>
      <c r="AH353" t="s">
        <v>359</v>
      </c>
    </row>
    <row r="354" spans="1:34" ht="15.75">
      <c r="A354" s="29">
        <f t="shared" si="5"/>
        <v>326</v>
      </c>
      <c r="B354" s="6" t="s">
        <v>4273</v>
      </c>
      <c r="C354">
        <v>5</v>
      </c>
      <c r="D354" s="2">
        <v>1817</v>
      </c>
      <c r="E354">
        <v>76</v>
      </c>
      <c r="I354" s="2">
        <v>326</v>
      </c>
      <c r="J354" s="2">
        <v>0</v>
      </c>
      <c r="K354" s="2" t="s">
        <v>863</v>
      </c>
      <c r="L354" s="43" t="s">
        <v>4706</v>
      </c>
      <c r="M354" s="41" t="s">
        <v>2997</v>
      </c>
      <c r="N354" s="41" t="s">
        <v>2998</v>
      </c>
      <c r="O354" s="41" t="s">
        <v>2999</v>
      </c>
      <c r="P354" s="41">
        <v>24</v>
      </c>
      <c r="Q354" s="41">
        <v>6</v>
      </c>
      <c r="R354" s="41">
        <v>78</v>
      </c>
      <c r="S354" t="s">
        <v>3343</v>
      </c>
      <c r="V354" t="s">
        <v>3000</v>
      </c>
      <c r="AH354" t="s">
        <v>359</v>
      </c>
    </row>
    <row r="355" spans="1:34" ht="15.75">
      <c r="A355" s="39">
        <f t="shared" si="5"/>
        <v>2686</v>
      </c>
      <c r="B355" s="6" t="s">
        <v>4273</v>
      </c>
      <c r="C355">
        <v>5</v>
      </c>
      <c r="D355" s="2">
        <v>1817</v>
      </c>
      <c r="E355">
        <v>77</v>
      </c>
      <c r="I355" s="2">
        <v>2686</v>
      </c>
      <c r="J355" s="2">
        <v>0</v>
      </c>
      <c r="K355" s="2" t="s">
        <v>863</v>
      </c>
      <c r="L355" s="43" t="s">
        <v>3013</v>
      </c>
      <c r="M355" s="41" t="s">
        <v>1298</v>
      </c>
      <c r="N355" s="41" t="s">
        <v>3014</v>
      </c>
      <c r="O355" s="41" t="s">
        <v>3015</v>
      </c>
      <c r="P355" s="41">
        <v>25</v>
      </c>
      <c r="Q355" s="41">
        <v>6</v>
      </c>
      <c r="R355" s="41">
        <v>59</v>
      </c>
      <c r="S355" t="s">
        <v>3016</v>
      </c>
      <c r="V355" t="s">
        <v>4648</v>
      </c>
      <c r="AH355" t="s">
        <v>359</v>
      </c>
    </row>
    <row r="356" spans="1:34" ht="15.75">
      <c r="A356" s="29">
        <f t="shared" si="5"/>
        <v>8707</v>
      </c>
      <c r="B356" s="6" t="s">
        <v>4276</v>
      </c>
      <c r="C356">
        <v>5</v>
      </c>
      <c r="D356" s="2">
        <v>1817</v>
      </c>
      <c r="E356">
        <v>78</v>
      </c>
      <c r="H356" t="s">
        <v>1540</v>
      </c>
      <c r="I356" s="2">
        <v>0</v>
      </c>
      <c r="J356" s="2">
        <f>+(2750+916+1375+3666)/20</f>
        <v>435.35</v>
      </c>
      <c r="K356" s="2" t="s">
        <v>863</v>
      </c>
      <c r="L356" s="43" t="s">
        <v>1665</v>
      </c>
      <c r="M356" s="41" t="s">
        <v>1666</v>
      </c>
      <c r="O356" s="41" t="s">
        <v>1667</v>
      </c>
      <c r="P356" s="41">
        <v>26</v>
      </c>
      <c r="Q356" s="41">
        <v>6</v>
      </c>
      <c r="R356" s="41" t="s">
        <v>1199</v>
      </c>
      <c r="U356" s="2" t="s">
        <v>1667</v>
      </c>
      <c r="V356" t="s">
        <v>3195</v>
      </c>
      <c r="X356">
        <v>1</v>
      </c>
      <c r="Y356" t="s">
        <v>4288</v>
      </c>
      <c r="AH356" t="s">
        <v>359</v>
      </c>
    </row>
    <row r="357" spans="1:34" ht="15.75">
      <c r="A357" s="29">
        <f t="shared" si="5"/>
        <v>40</v>
      </c>
      <c r="B357" s="6">
        <v>944</v>
      </c>
      <c r="C357">
        <v>5</v>
      </c>
      <c r="D357" s="2">
        <v>1817</v>
      </c>
      <c r="E357">
        <v>79</v>
      </c>
      <c r="H357" t="s">
        <v>1541</v>
      </c>
      <c r="I357" s="2">
        <v>40</v>
      </c>
      <c r="J357" s="2">
        <v>0</v>
      </c>
      <c r="K357" s="2" t="s">
        <v>863</v>
      </c>
      <c r="L357" s="43" t="s">
        <v>3103</v>
      </c>
      <c r="P357" s="41">
        <v>27</v>
      </c>
      <c r="Q357" s="41">
        <v>6</v>
      </c>
      <c r="R357" s="41">
        <v>27</v>
      </c>
      <c r="AH357" t="s">
        <v>359</v>
      </c>
    </row>
    <row r="358" spans="1:34" ht="15.75">
      <c r="A358" s="29">
        <f t="shared" si="5"/>
        <v>61</v>
      </c>
      <c r="B358" s="6">
        <v>942</v>
      </c>
      <c r="C358">
        <v>5</v>
      </c>
      <c r="D358" s="2">
        <v>1817</v>
      </c>
      <c r="E358">
        <v>80</v>
      </c>
      <c r="H358" t="s">
        <v>1541</v>
      </c>
      <c r="I358" s="2">
        <v>61</v>
      </c>
      <c r="J358" s="2">
        <v>0</v>
      </c>
      <c r="K358" s="2" t="s">
        <v>863</v>
      </c>
      <c r="L358" s="43" t="s">
        <v>3224</v>
      </c>
      <c r="M358" s="41" t="s">
        <v>3226</v>
      </c>
      <c r="P358" s="41">
        <v>9</v>
      </c>
      <c r="Q358" s="41">
        <v>7</v>
      </c>
      <c r="R358" s="41">
        <v>54</v>
      </c>
      <c r="S358" t="s">
        <v>3227</v>
      </c>
      <c r="AH358" t="s">
        <v>359</v>
      </c>
    </row>
    <row r="359" spans="1:34" ht="15.75">
      <c r="A359" s="29">
        <f t="shared" si="5"/>
        <v>216250</v>
      </c>
      <c r="B359" s="6">
        <v>413</v>
      </c>
      <c r="C359">
        <v>5</v>
      </c>
      <c r="D359" s="2">
        <v>1817</v>
      </c>
      <c r="E359">
        <v>81</v>
      </c>
      <c r="H359" t="s">
        <v>1549</v>
      </c>
      <c r="I359" s="2">
        <v>35938</v>
      </c>
      <c r="J359" s="2">
        <f>180312/20</f>
        <v>9015.6</v>
      </c>
      <c r="K359" s="2" t="s">
        <v>863</v>
      </c>
      <c r="L359" s="43" t="s">
        <v>4289</v>
      </c>
      <c r="M359" s="41" t="s">
        <v>4290</v>
      </c>
      <c r="N359" s="41" t="s">
        <v>4291</v>
      </c>
      <c r="O359" s="41" t="s">
        <v>4292</v>
      </c>
      <c r="P359" s="41">
        <v>11</v>
      </c>
      <c r="Q359" s="41">
        <v>7</v>
      </c>
      <c r="R359" s="41" t="s">
        <v>1547</v>
      </c>
      <c r="V359" t="s">
        <v>4293</v>
      </c>
      <c r="X359">
        <v>1</v>
      </c>
      <c r="Y359" s="2" t="s">
        <v>4292</v>
      </c>
      <c r="AA359" t="s">
        <v>4294</v>
      </c>
      <c r="AH359" t="s">
        <v>359</v>
      </c>
    </row>
    <row r="360" spans="1:34" ht="15.75">
      <c r="A360" s="29">
        <f t="shared" si="5"/>
        <v>413</v>
      </c>
      <c r="B360" s="6">
        <v>945</v>
      </c>
      <c r="C360">
        <v>5</v>
      </c>
      <c r="D360" s="2">
        <v>1817</v>
      </c>
      <c r="E360">
        <v>82</v>
      </c>
      <c r="H360" t="s">
        <v>1541</v>
      </c>
      <c r="I360" s="2">
        <v>413</v>
      </c>
      <c r="J360" s="2">
        <v>0</v>
      </c>
      <c r="K360" s="2" t="s">
        <v>863</v>
      </c>
      <c r="L360" s="43" t="s">
        <v>3011</v>
      </c>
      <c r="P360" s="41">
        <v>14</v>
      </c>
      <c r="Q360" s="41">
        <v>7</v>
      </c>
      <c r="R360" s="41">
        <v>39</v>
      </c>
      <c r="AH360" t="s">
        <v>359</v>
      </c>
    </row>
    <row r="361" spans="1:34" ht="15.75">
      <c r="A361" s="29">
        <f t="shared" si="5"/>
        <v>28728</v>
      </c>
      <c r="B361" s="6">
        <v>939</v>
      </c>
      <c r="C361">
        <v>5</v>
      </c>
      <c r="D361" s="2">
        <v>1817</v>
      </c>
      <c r="E361">
        <v>83</v>
      </c>
      <c r="H361" t="s">
        <v>1540</v>
      </c>
      <c r="I361" s="2">
        <f>16245+123</f>
        <v>16368</v>
      </c>
      <c r="J361" s="2">
        <v>1236</v>
      </c>
      <c r="K361" s="2" t="s">
        <v>863</v>
      </c>
      <c r="L361" s="43" t="s">
        <v>3172</v>
      </c>
      <c r="M361" s="41" t="s">
        <v>5316</v>
      </c>
      <c r="N361" s="41" t="s">
        <v>3173</v>
      </c>
      <c r="O361" s="41" t="s">
        <v>3174</v>
      </c>
      <c r="P361" s="41">
        <v>22</v>
      </c>
      <c r="Q361" s="41">
        <v>7</v>
      </c>
      <c r="R361" s="41">
        <v>68</v>
      </c>
      <c r="S361" t="s">
        <v>3175</v>
      </c>
      <c r="T361" t="s">
        <v>1255</v>
      </c>
      <c r="V361" t="s">
        <v>3176</v>
      </c>
      <c r="X361">
        <v>0.5</v>
      </c>
      <c r="Y361" t="s">
        <v>3171</v>
      </c>
      <c r="AH361" t="s">
        <v>359</v>
      </c>
    </row>
    <row r="362" spans="1:34" ht="15.75">
      <c r="A362" s="29">
        <f t="shared" si="5"/>
        <v>45</v>
      </c>
      <c r="B362" s="6">
        <v>941</v>
      </c>
      <c r="C362">
        <v>5</v>
      </c>
      <c r="D362" s="2">
        <v>1817</v>
      </c>
      <c r="E362">
        <v>84</v>
      </c>
      <c r="H362" t="s">
        <v>1541</v>
      </c>
      <c r="I362" s="2">
        <v>45</v>
      </c>
      <c r="J362" s="2">
        <v>0</v>
      </c>
      <c r="K362" s="2" t="s">
        <v>863</v>
      </c>
      <c r="L362" s="43" t="s">
        <v>2732</v>
      </c>
      <c r="P362" s="41">
        <v>22</v>
      </c>
      <c r="Q362" s="41">
        <v>7</v>
      </c>
      <c r="R362" s="41">
        <v>49</v>
      </c>
      <c r="AH362" t="s">
        <v>359</v>
      </c>
    </row>
    <row r="363" spans="1:34" ht="15.75">
      <c r="A363" s="29">
        <f t="shared" si="5"/>
        <v>300</v>
      </c>
      <c r="B363" s="6">
        <v>943</v>
      </c>
      <c r="C363">
        <v>5</v>
      </c>
      <c r="D363" s="2">
        <v>1817</v>
      </c>
      <c r="E363">
        <v>85</v>
      </c>
      <c r="H363" t="s">
        <v>1541</v>
      </c>
      <c r="I363" s="2">
        <v>300</v>
      </c>
      <c r="J363" s="2">
        <v>0</v>
      </c>
      <c r="K363" s="2" t="s">
        <v>863</v>
      </c>
      <c r="L363" s="43" t="s">
        <v>3189</v>
      </c>
      <c r="P363" s="41">
        <v>22</v>
      </c>
      <c r="Q363" s="41">
        <v>7</v>
      </c>
      <c r="R363" s="41">
        <v>34</v>
      </c>
      <c r="AH363" t="s">
        <v>359</v>
      </c>
    </row>
    <row r="364" spans="1:34" ht="15.75">
      <c r="A364" s="29">
        <f t="shared" si="5"/>
        <v>999</v>
      </c>
      <c r="B364" s="6" t="s">
        <v>4274</v>
      </c>
      <c r="C364">
        <v>5</v>
      </c>
      <c r="D364" s="2">
        <v>1817</v>
      </c>
      <c r="E364">
        <v>86</v>
      </c>
      <c r="H364" t="s">
        <v>1541</v>
      </c>
      <c r="I364" s="2">
        <v>999</v>
      </c>
      <c r="J364" s="2">
        <v>0</v>
      </c>
      <c r="K364" s="2" t="s">
        <v>863</v>
      </c>
      <c r="L364" s="43" t="s">
        <v>3089</v>
      </c>
      <c r="M364" s="41" t="s">
        <v>4786</v>
      </c>
      <c r="N364" s="41" t="s">
        <v>3453</v>
      </c>
      <c r="O364" s="41" t="s">
        <v>3090</v>
      </c>
      <c r="P364" s="41">
        <v>25</v>
      </c>
      <c r="Q364" s="41">
        <v>7</v>
      </c>
      <c r="R364" s="41">
        <v>55</v>
      </c>
      <c r="S364" t="s">
        <v>3343</v>
      </c>
      <c r="T364" t="s">
        <v>3389</v>
      </c>
      <c r="V364" t="s">
        <v>3091</v>
      </c>
      <c r="AH364" t="s">
        <v>359</v>
      </c>
    </row>
    <row r="365" spans="1:34" ht="15.75">
      <c r="A365" s="29">
        <f t="shared" si="5"/>
        <v>429</v>
      </c>
      <c r="B365" s="6" t="s">
        <v>4270</v>
      </c>
      <c r="C365">
        <v>5</v>
      </c>
      <c r="D365" s="2">
        <v>1817</v>
      </c>
      <c r="E365">
        <v>87</v>
      </c>
      <c r="H365" t="s">
        <v>1541</v>
      </c>
      <c r="I365" s="2">
        <v>429</v>
      </c>
      <c r="J365" s="2">
        <v>0</v>
      </c>
      <c r="K365" s="2" t="s">
        <v>863</v>
      </c>
      <c r="L365" s="43" t="s">
        <v>3179</v>
      </c>
      <c r="M365" s="41" t="s">
        <v>3180</v>
      </c>
      <c r="O365" s="41" t="s">
        <v>3181</v>
      </c>
      <c r="P365" s="41">
        <v>29</v>
      </c>
      <c r="Q365" s="41">
        <v>7</v>
      </c>
      <c r="R365" s="41">
        <v>21</v>
      </c>
      <c r="S365" t="s">
        <v>3184</v>
      </c>
      <c r="V365" t="s">
        <v>1278</v>
      </c>
      <c r="AH365" t="s">
        <v>359</v>
      </c>
    </row>
    <row r="366" spans="1:34" ht="15.75">
      <c r="A366" s="29">
        <f t="shared" si="5"/>
        <v>0</v>
      </c>
      <c r="B366" s="6">
        <v>940</v>
      </c>
      <c r="C366">
        <v>5</v>
      </c>
      <c r="D366" s="2">
        <v>1817</v>
      </c>
      <c r="E366">
        <v>88</v>
      </c>
      <c r="H366" t="s">
        <v>1541</v>
      </c>
      <c r="I366" s="2">
        <v>0</v>
      </c>
      <c r="J366" s="2">
        <v>0</v>
      </c>
      <c r="K366" s="2" t="s">
        <v>863</v>
      </c>
      <c r="L366" s="43" t="s">
        <v>1648</v>
      </c>
      <c r="M366" s="41" t="s">
        <v>1693</v>
      </c>
      <c r="P366" s="41">
        <v>31</v>
      </c>
      <c r="Q366" s="41">
        <v>7</v>
      </c>
      <c r="R366" s="41">
        <v>74</v>
      </c>
      <c r="S366" t="s">
        <v>1646</v>
      </c>
      <c r="V366" t="s">
        <v>3553</v>
      </c>
      <c r="AH366" t="s">
        <v>359</v>
      </c>
    </row>
    <row r="367" spans="1:34" ht="15.75">
      <c r="A367" s="29">
        <f t="shared" si="5"/>
        <v>159</v>
      </c>
      <c r="B367" s="6">
        <v>940</v>
      </c>
      <c r="C367">
        <v>5</v>
      </c>
      <c r="D367" s="2">
        <v>1817</v>
      </c>
      <c r="E367">
        <v>89</v>
      </c>
      <c r="H367" t="s">
        <v>1541</v>
      </c>
      <c r="I367" s="2">
        <v>159</v>
      </c>
      <c r="J367" s="2">
        <v>0</v>
      </c>
      <c r="K367" s="2" t="s">
        <v>863</v>
      </c>
      <c r="L367" s="43" t="s">
        <v>1649</v>
      </c>
      <c r="M367" s="41" t="s">
        <v>1692</v>
      </c>
      <c r="N367" s="41" t="s">
        <v>1650</v>
      </c>
      <c r="O367" s="41" t="s">
        <v>1651</v>
      </c>
      <c r="P367" s="41">
        <v>5</v>
      </c>
      <c r="Q367" s="41">
        <v>8</v>
      </c>
      <c r="R367" s="41">
        <v>79</v>
      </c>
      <c r="S367" t="s">
        <v>3343</v>
      </c>
      <c r="AH367" t="s">
        <v>359</v>
      </c>
    </row>
    <row r="368" spans="1:34" ht="15.75">
      <c r="A368" s="29">
        <f t="shared" si="5"/>
        <v>53</v>
      </c>
      <c r="B368" s="6">
        <v>939</v>
      </c>
      <c r="C368">
        <v>5</v>
      </c>
      <c r="D368" s="2">
        <v>1817</v>
      </c>
      <c r="E368">
        <v>90</v>
      </c>
      <c r="H368" t="s">
        <v>1541</v>
      </c>
      <c r="I368" s="2">
        <v>53</v>
      </c>
      <c r="J368" s="2">
        <v>0</v>
      </c>
      <c r="K368" s="2" t="s">
        <v>863</v>
      </c>
      <c r="L368" s="43" t="s">
        <v>1624</v>
      </c>
      <c r="P368" s="41">
        <v>12</v>
      </c>
      <c r="Q368" s="41">
        <v>8</v>
      </c>
      <c r="R368" s="41">
        <v>51</v>
      </c>
      <c r="AH368" t="s">
        <v>359</v>
      </c>
    </row>
    <row r="369" spans="1:34" ht="15.75">
      <c r="A369" s="29">
        <f t="shared" si="5"/>
        <v>84</v>
      </c>
      <c r="B369" s="6" t="s">
        <v>4276</v>
      </c>
      <c r="C369">
        <v>5</v>
      </c>
      <c r="D369" s="2">
        <v>1817</v>
      </c>
      <c r="E369">
        <v>92</v>
      </c>
      <c r="H369" t="s">
        <v>1541</v>
      </c>
      <c r="I369" s="2">
        <v>84</v>
      </c>
      <c r="J369" s="2">
        <v>0</v>
      </c>
      <c r="K369" s="2" t="s">
        <v>863</v>
      </c>
      <c r="L369" s="43" t="s">
        <v>1634</v>
      </c>
      <c r="M369" s="41" t="s">
        <v>1635</v>
      </c>
      <c r="N369" s="41" t="s">
        <v>3453</v>
      </c>
      <c r="O369" s="41" t="s">
        <v>3240</v>
      </c>
      <c r="P369" s="41">
        <v>23</v>
      </c>
      <c r="Q369" s="41">
        <v>8</v>
      </c>
      <c r="R369" s="41">
        <v>87</v>
      </c>
      <c r="S369" t="s">
        <v>1636</v>
      </c>
      <c r="V369" t="s">
        <v>1637</v>
      </c>
      <c r="AH369" t="s">
        <v>359</v>
      </c>
    </row>
    <row r="370" spans="1:34" ht="15.75">
      <c r="A370" s="29">
        <f t="shared" si="5"/>
        <v>2316</v>
      </c>
      <c r="B370" s="6" t="s">
        <v>4278</v>
      </c>
      <c r="C370">
        <v>5</v>
      </c>
      <c r="D370" s="2">
        <v>1817</v>
      </c>
      <c r="E370">
        <v>93</v>
      </c>
      <c r="H370" t="s">
        <v>1540</v>
      </c>
      <c r="I370" s="2">
        <v>2316</v>
      </c>
      <c r="J370" s="2">
        <v>0</v>
      </c>
      <c r="K370" s="2" t="s">
        <v>863</v>
      </c>
      <c r="L370" s="43" t="s">
        <v>1619</v>
      </c>
      <c r="M370" s="41" t="s">
        <v>1620</v>
      </c>
      <c r="N370" s="41" t="s">
        <v>3144</v>
      </c>
      <c r="O370" s="41" t="s">
        <v>1621</v>
      </c>
      <c r="P370" s="41">
        <v>24</v>
      </c>
      <c r="Q370" s="41">
        <v>8</v>
      </c>
      <c r="R370" s="41">
        <v>71</v>
      </c>
      <c r="S370" t="s">
        <v>3343</v>
      </c>
      <c r="V370" t="s">
        <v>1572</v>
      </c>
      <c r="AH370" t="s">
        <v>359</v>
      </c>
    </row>
    <row r="371" spans="1:34" ht="15.75">
      <c r="A371" s="29">
        <f t="shared" si="5"/>
        <v>30</v>
      </c>
      <c r="B371" s="6">
        <v>944</v>
      </c>
      <c r="C371">
        <v>5</v>
      </c>
      <c r="D371" s="2">
        <v>1817</v>
      </c>
      <c r="E371">
        <v>94</v>
      </c>
      <c r="H371" t="s">
        <v>1541</v>
      </c>
      <c r="I371" s="2">
        <v>30</v>
      </c>
      <c r="J371" s="2">
        <v>0</v>
      </c>
      <c r="K371" s="2" t="s">
        <v>863</v>
      </c>
      <c r="L371" s="43" t="s">
        <v>3104</v>
      </c>
      <c r="P371" s="41">
        <v>25</v>
      </c>
      <c r="Q371" s="41">
        <v>8</v>
      </c>
      <c r="R371" s="41">
        <v>37</v>
      </c>
      <c r="AH371" t="s">
        <v>359</v>
      </c>
    </row>
    <row r="372" spans="1:34" ht="15.75">
      <c r="A372" s="29">
        <f t="shared" si="5"/>
        <v>916</v>
      </c>
      <c r="B372" s="6">
        <v>939</v>
      </c>
      <c r="C372">
        <v>5</v>
      </c>
      <c r="D372" s="2">
        <v>1817</v>
      </c>
      <c r="E372">
        <v>95</v>
      </c>
      <c r="H372" t="s">
        <v>1541</v>
      </c>
      <c r="I372" s="2">
        <v>916</v>
      </c>
      <c r="J372" s="2">
        <v>0</v>
      </c>
      <c r="K372" s="2" t="s">
        <v>863</v>
      </c>
      <c r="L372" s="43" t="s">
        <v>1623</v>
      </c>
      <c r="P372" s="41">
        <v>27</v>
      </c>
      <c r="Q372" s="41">
        <v>8</v>
      </c>
      <c r="R372" s="41">
        <v>44</v>
      </c>
      <c r="S372" t="s">
        <v>3343</v>
      </c>
      <c r="AH372" t="s">
        <v>359</v>
      </c>
    </row>
    <row r="373" spans="1:34" ht="15.75">
      <c r="A373" s="29">
        <f t="shared" si="5"/>
        <v>1504</v>
      </c>
      <c r="B373" s="6">
        <v>944</v>
      </c>
      <c r="C373">
        <v>5</v>
      </c>
      <c r="D373" s="2">
        <v>1817</v>
      </c>
      <c r="E373">
        <v>96</v>
      </c>
      <c r="H373" t="s">
        <v>1541</v>
      </c>
      <c r="I373" s="2">
        <v>1504</v>
      </c>
      <c r="J373" s="2">
        <v>0</v>
      </c>
      <c r="K373" s="2" t="s">
        <v>863</v>
      </c>
      <c r="L373" s="43" t="s">
        <v>3084</v>
      </c>
      <c r="M373" s="41" t="s">
        <v>3085</v>
      </c>
      <c r="N373" s="41" t="s">
        <v>1555</v>
      </c>
      <c r="O373" s="41" t="s">
        <v>3086</v>
      </c>
      <c r="P373" s="41">
        <v>27</v>
      </c>
      <c r="Q373" s="41">
        <v>8</v>
      </c>
      <c r="R373" s="41">
        <v>48</v>
      </c>
      <c r="S373" t="s">
        <v>3343</v>
      </c>
      <c r="T373" t="s">
        <v>1148</v>
      </c>
      <c r="V373" t="s">
        <v>3087</v>
      </c>
      <c r="AH373" t="s">
        <v>359</v>
      </c>
    </row>
    <row r="374" spans="1:34" ht="15.75">
      <c r="A374" s="29">
        <f t="shared" si="5"/>
        <v>24801</v>
      </c>
      <c r="B374" s="10">
        <v>944</v>
      </c>
      <c r="C374">
        <v>5</v>
      </c>
      <c r="D374" s="8">
        <v>1817</v>
      </c>
      <c r="E374">
        <v>97</v>
      </c>
      <c r="F374" s="9"/>
      <c r="G374" s="9"/>
      <c r="H374" s="9" t="s">
        <v>1540</v>
      </c>
      <c r="I374" s="8">
        <v>24801</v>
      </c>
      <c r="J374" s="8">
        <v>0</v>
      </c>
      <c r="K374" s="2" t="s">
        <v>863</v>
      </c>
      <c r="L374" s="43" t="s">
        <v>1272</v>
      </c>
      <c r="M374" s="41" t="s">
        <v>3362</v>
      </c>
      <c r="O374" s="41" t="s">
        <v>4711</v>
      </c>
      <c r="P374" s="41">
        <v>27</v>
      </c>
      <c r="Q374" s="41">
        <v>8</v>
      </c>
      <c r="R374" s="41" t="s">
        <v>1199</v>
      </c>
      <c r="S374" t="s">
        <v>4712</v>
      </c>
      <c r="T374" t="s">
        <v>4713</v>
      </c>
      <c r="V374" t="s">
        <v>1271</v>
      </c>
      <c r="AH374" t="s">
        <v>359</v>
      </c>
    </row>
    <row r="375" spans="1:34" ht="15.75">
      <c r="A375" s="29">
        <f t="shared" si="5"/>
        <v>16000</v>
      </c>
      <c r="B375" s="6">
        <v>941</v>
      </c>
      <c r="C375">
        <v>5</v>
      </c>
      <c r="D375" s="2">
        <v>1817</v>
      </c>
      <c r="E375">
        <v>98</v>
      </c>
      <c r="H375" t="s">
        <v>1541</v>
      </c>
      <c r="I375" s="2">
        <v>0</v>
      </c>
      <c r="J375" s="2">
        <v>800</v>
      </c>
      <c r="K375" s="2" t="s">
        <v>863</v>
      </c>
      <c r="L375" s="43" t="s">
        <v>1679</v>
      </c>
      <c r="P375" s="41">
        <v>28</v>
      </c>
      <c r="Q375" s="41">
        <v>8</v>
      </c>
      <c r="R375" s="41" t="s">
        <v>1199</v>
      </c>
      <c r="U375" t="s">
        <v>1681</v>
      </c>
      <c r="X375">
        <v>1</v>
      </c>
      <c r="Y375" t="s">
        <v>1680</v>
      </c>
      <c r="AH375" t="s">
        <v>359</v>
      </c>
    </row>
    <row r="376" spans="1:34" ht="15.75">
      <c r="A376" s="29">
        <f t="shared" si="5"/>
        <v>15</v>
      </c>
      <c r="B376" s="6">
        <v>944</v>
      </c>
      <c r="C376">
        <v>5</v>
      </c>
      <c r="D376" s="2">
        <v>1817</v>
      </c>
      <c r="E376">
        <v>99</v>
      </c>
      <c r="H376" t="s">
        <v>1540</v>
      </c>
      <c r="I376" s="2">
        <v>15</v>
      </c>
      <c r="J376" s="2">
        <v>0</v>
      </c>
      <c r="K376" s="2" t="s">
        <v>863</v>
      </c>
      <c r="L376" s="43" t="s">
        <v>3102</v>
      </c>
      <c r="P376" s="41">
        <v>28</v>
      </c>
      <c r="Q376" s="41">
        <v>8</v>
      </c>
      <c r="R376" s="41">
        <v>50</v>
      </c>
      <c r="AH376" t="s">
        <v>359</v>
      </c>
    </row>
    <row r="377" spans="1:34" ht="15.75">
      <c r="A377" s="29">
        <f t="shared" si="5"/>
        <v>4936</v>
      </c>
      <c r="B377" s="6">
        <v>938</v>
      </c>
      <c r="C377">
        <v>5</v>
      </c>
      <c r="D377" s="2">
        <v>1817</v>
      </c>
      <c r="E377">
        <v>100</v>
      </c>
      <c r="H377" t="s">
        <v>1540</v>
      </c>
      <c r="I377" s="2">
        <v>4936</v>
      </c>
      <c r="J377" s="2">
        <v>0</v>
      </c>
      <c r="K377" s="2" t="s">
        <v>863</v>
      </c>
      <c r="L377" s="43" t="s">
        <v>1618</v>
      </c>
      <c r="P377" s="41">
        <v>31</v>
      </c>
      <c r="Q377" s="41">
        <v>8</v>
      </c>
      <c r="R377" s="41">
        <v>22</v>
      </c>
      <c r="S377" t="s">
        <v>3343</v>
      </c>
      <c r="AH377" t="s">
        <v>359</v>
      </c>
    </row>
    <row r="378" spans="1:34" ht="15.75">
      <c r="A378" s="29">
        <f t="shared" si="5"/>
        <v>6904</v>
      </c>
      <c r="B378" s="6">
        <v>938</v>
      </c>
      <c r="C378">
        <v>5</v>
      </c>
      <c r="D378" s="2">
        <v>1817</v>
      </c>
      <c r="E378">
        <v>101</v>
      </c>
      <c r="H378" t="s">
        <v>1541</v>
      </c>
      <c r="I378" s="2">
        <v>6904</v>
      </c>
      <c r="J378" s="2">
        <v>0</v>
      </c>
      <c r="K378" s="2" t="s">
        <v>863</v>
      </c>
      <c r="L378" s="43" t="s">
        <v>3268</v>
      </c>
      <c r="P378" s="41">
        <v>5</v>
      </c>
      <c r="Q378" s="41">
        <v>9</v>
      </c>
      <c r="R378" s="41">
        <v>86</v>
      </c>
      <c r="AH378" t="s">
        <v>359</v>
      </c>
    </row>
    <row r="379" spans="1:34" ht="15.75">
      <c r="A379" s="29">
        <f t="shared" si="5"/>
        <v>73</v>
      </c>
      <c r="B379" s="6">
        <v>940</v>
      </c>
      <c r="C379">
        <v>5</v>
      </c>
      <c r="D379" s="2">
        <v>1817</v>
      </c>
      <c r="E379">
        <v>102</v>
      </c>
      <c r="I379" s="2">
        <v>73</v>
      </c>
      <c r="J379" s="2">
        <v>0</v>
      </c>
      <c r="K379" s="2" t="s">
        <v>863</v>
      </c>
      <c r="L379" s="43" t="s">
        <v>2738</v>
      </c>
      <c r="P379" s="41">
        <v>7</v>
      </c>
      <c r="Q379" s="41">
        <v>9</v>
      </c>
      <c r="R379" s="41">
        <v>45</v>
      </c>
      <c r="AH379" t="s">
        <v>359</v>
      </c>
    </row>
    <row r="380" spans="1:34" ht="15.75">
      <c r="A380" s="29">
        <f t="shared" si="5"/>
        <v>1963</v>
      </c>
      <c r="B380" s="6" t="s">
        <v>4269</v>
      </c>
      <c r="C380">
        <v>5</v>
      </c>
      <c r="D380" s="2">
        <v>1817</v>
      </c>
      <c r="E380">
        <v>103</v>
      </c>
      <c r="H380" t="s">
        <v>1540</v>
      </c>
      <c r="I380" s="2">
        <v>1963</v>
      </c>
      <c r="J380" s="2">
        <v>0</v>
      </c>
      <c r="K380" s="2" t="s">
        <v>863</v>
      </c>
      <c r="L380" s="43" t="s">
        <v>3272</v>
      </c>
      <c r="M380" s="41" t="s">
        <v>1543</v>
      </c>
      <c r="N380" s="41" t="s">
        <v>719</v>
      </c>
      <c r="O380" s="41" t="s">
        <v>2323</v>
      </c>
      <c r="P380" s="41">
        <v>13</v>
      </c>
      <c r="Q380" s="41">
        <v>9</v>
      </c>
      <c r="R380" s="41">
        <v>40</v>
      </c>
      <c r="S380" t="s">
        <v>720</v>
      </c>
      <c r="V380" t="s">
        <v>721</v>
      </c>
      <c r="AH380" t="s">
        <v>359</v>
      </c>
    </row>
    <row r="381" spans="1:34" ht="15.75">
      <c r="A381" s="29">
        <f t="shared" si="5"/>
        <v>24820</v>
      </c>
      <c r="B381" s="6">
        <v>941</v>
      </c>
      <c r="C381">
        <v>5</v>
      </c>
      <c r="D381" s="2">
        <v>1817</v>
      </c>
      <c r="E381">
        <v>104</v>
      </c>
      <c r="H381" t="s">
        <v>1541</v>
      </c>
      <c r="I381" s="2">
        <v>4820</v>
      </c>
      <c r="J381" s="2">
        <v>2000</v>
      </c>
      <c r="K381" s="2" t="s">
        <v>863</v>
      </c>
      <c r="L381" s="43" t="s">
        <v>2733</v>
      </c>
      <c r="M381" s="41" t="s">
        <v>2734</v>
      </c>
      <c r="O381" s="41" t="s">
        <v>2735</v>
      </c>
      <c r="P381" s="41">
        <v>16</v>
      </c>
      <c r="Q381" s="41">
        <v>9</v>
      </c>
      <c r="R381" s="41">
        <v>39</v>
      </c>
      <c r="S381" t="s">
        <v>2736</v>
      </c>
      <c r="T381" t="s">
        <v>4649</v>
      </c>
      <c r="W381" t="s">
        <v>2766</v>
      </c>
      <c r="X381">
        <v>0.5</v>
      </c>
      <c r="Y381" t="s">
        <v>2735</v>
      </c>
      <c r="AH381" t="s">
        <v>359</v>
      </c>
    </row>
    <row r="382" spans="1:34" ht="15.75">
      <c r="A382" s="29">
        <f t="shared" si="5"/>
        <v>24820</v>
      </c>
      <c r="B382" s="6">
        <v>946</v>
      </c>
      <c r="C382">
        <v>5</v>
      </c>
      <c r="D382" s="2">
        <v>1817</v>
      </c>
      <c r="E382">
        <v>105</v>
      </c>
      <c r="H382" t="s">
        <v>1541</v>
      </c>
      <c r="I382" s="2">
        <v>4820</v>
      </c>
      <c r="J382" s="2">
        <v>2000</v>
      </c>
      <c r="K382" s="2" t="s">
        <v>863</v>
      </c>
      <c r="L382" s="43" t="s">
        <v>3583</v>
      </c>
      <c r="M382" s="41" t="s">
        <v>3584</v>
      </c>
      <c r="O382" s="41" t="s">
        <v>3585</v>
      </c>
      <c r="P382" s="41">
        <v>16</v>
      </c>
      <c r="Q382" s="41">
        <v>9</v>
      </c>
      <c r="S382" t="s">
        <v>3586</v>
      </c>
      <c r="T382" t="s">
        <v>1274</v>
      </c>
      <c r="V382" t="s">
        <v>2766</v>
      </c>
      <c r="X382">
        <v>0.5</v>
      </c>
      <c r="Y382" t="s">
        <v>3585</v>
      </c>
      <c r="AH382" t="s">
        <v>359</v>
      </c>
    </row>
    <row r="383" spans="1:34" ht="15.75">
      <c r="A383" s="29">
        <f t="shared" si="5"/>
        <v>5278</v>
      </c>
      <c r="B383" s="6">
        <v>940</v>
      </c>
      <c r="C383">
        <v>5</v>
      </c>
      <c r="D383" s="2">
        <v>1817</v>
      </c>
      <c r="E383">
        <v>106</v>
      </c>
      <c r="H383" t="s">
        <v>1541</v>
      </c>
      <c r="I383" s="2">
        <v>5278</v>
      </c>
      <c r="J383" s="2">
        <v>0</v>
      </c>
      <c r="K383" s="2" t="s">
        <v>863</v>
      </c>
      <c r="L383" s="43" t="s">
        <v>1647</v>
      </c>
      <c r="P383" s="41">
        <v>24</v>
      </c>
      <c r="Q383" s="41">
        <v>9</v>
      </c>
      <c r="R383" s="41" t="s">
        <v>4655</v>
      </c>
      <c r="AH383" t="s">
        <v>359</v>
      </c>
    </row>
    <row r="384" spans="1:34" ht="15.75">
      <c r="A384" s="29">
        <f t="shared" si="5"/>
        <v>7925</v>
      </c>
      <c r="B384" s="6">
        <v>945</v>
      </c>
      <c r="C384">
        <v>5</v>
      </c>
      <c r="D384" s="2">
        <v>1817</v>
      </c>
      <c r="E384">
        <v>107</v>
      </c>
      <c r="H384" t="s">
        <v>1541</v>
      </c>
      <c r="I384" s="2">
        <f>2840+2000+3085</f>
        <v>7925</v>
      </c>
      <c r="J384" s="2">
        <v>0</v>
      </c>
      <c r="K384" s="2" t="s">
        <v>863</v>
      </c>
      <c r="L384" s="43" t="s">
        <v>3012</v>
      </c>
      <c r="P384" s="41">
        <v>2</v>
      </c>
      <c r="Q384" s="41">
        <v>10</v>
      </c>
      <c r="R384" s="41">
        <v>26</v>
      </c>
      <c r="AH384" t="s">
        <v>359</v>
      </c>
    </row>
    <row r="385" spans="1:34" ht="15.75">
      <c r="A385" s="29">
        <f t="shared" si="5"/>
        <v>21333.333333333332</v>
      </c>
      <c r="B385" s="6">
        <v>940</v>
      </c>
      <c r="C385">
        <v>5</v>
      </c>
      <c r="D385" s="2">
        <v>1817</v>
      </c>
      <c r="E385">
        <v>108</v>
      </c>
      <c r="H385" t="s">
        <v>1541</v>
      </c>
      <c r="I385" s="2">
        <v>0</v>
      </c>
      <c r="J385" s="2">
        <v>2400</v>
      </c>
      <c r="K385" s="2" t="s">
        <v>863</v>
      </c>
      <c r="L385" s="43" t="s">
        <v>2761</v>
      </c>
      <c r="M385" s="41" t="s">
        <v>2762</v>
      </c>
      <c r="O385" s="41" t="s">
        <v>2763</v>
      </c>
      <c r="P385" s="41">
        <v>10</v>
      </c>
      <c r="Q385" s="41">
        <v>10</v>
      </c>
      <c r="S385" t="s">
        <v>2764</v>
      </c>
      <c r="T385" t="s">
        <v>2765</v>
      </c>
      <c r="V385" s="5" t="s">
        <v>3134</v>
      </c>
      <c r="W385" s="5"/>
      <c r="X385">
        <f>4/9</f>
        <v>0.4444444444444444</v>
      </c>
      <c r="Y385" t="s">
        <v>2760</v>
      </c>
      <c r="AH385" t="s">
        <v>359</v>
      </c>
    </row>
    <row r="386" spans="1:34" ht="15.75">
      <c r="A386" s="29">
        <f aca="true" t="shared" si="6" ref="A386:A449">I386+J386*20*X386</f>
        <v>50</v>
      </c>
      <c r="B386" s="6">
        <v>940</v>
      </c>
      <c r="C386">
        <v>5</v>
      </c>
      <c r="D386" s="2">
        <v>1817</v>
      </c>
      <c r="E386">
        <v>109</v>
      </c>
      <c r="H386" t="s">
        <v>1540</v>
      </c>
      <c r="I386" s="2">
        <v>50</v>
      </c>
      <c r="J386" s="2">
        <v>0</v>
      </c>
      <c r="K386" s="2" t="s">
        <v>863</v>
      </c>
      <c r="L386" s="43" t="s">
        <v>1657</v>
      </c>
      <c r="P386" s="41">
        <v>15</v>
      </c>
      <c r="Q386" s="41">
        <v>10</v>
      </c>
      <c r="R386" s="41">
        <v>50</v>
      </c>
      <c r="AH386" t="s">
        <v>359</v>
      </c>
    </row>
    <row r="387" spans="1:34" ht="15.75">
      <c r="A387" s="29">
        <f t="shared" si="6"/>
        <v>11055</v>
      </c>
      <c r="B387" s="6">
        <v>940</v>
      </c>
      <c r="C387">
        <v>5</v>
      </c>
      <c r="D387" s="2">
        <v>1817</v>
      </c>
      <c r="E387">
        <v>110</v>
      </c>
      <c r="H387" t="s">
        <v>1541</v>
      </c>
      <c r="I387" s="2">
        <v>11055</v>
      </c>
      <c r="J387" s="2">
        <v>0</v>
      </c>
      <c r="K387" s="2" t="s">
        <v>863</v>
      </c>
      <c r="L387" s="43" t="s">
        <v>1657</v>
      </c>
      <c r="P387" s="41">
        <v>20</v>
      </c>
      <c r="Q387" s="41">
        <v>10</v>
      </c>
      <c r="R387" s="41">
        <v>28</v>
      </c>
      <c r="AH387" t="s">
        <v>359</v>
      </c>
    </row>
    <row r="388" spans="1:34" ht="15.75">
      <c r="A388" s="29">
        <f t="shared" si="6"/>
        <v>1400</v>
      </c>
      <c r="B388" s="6">
        <v>940</v>
      </c>
      <c r="C388">
        <v>5</v>
      </c>
      <c r="D388" s="2">
        <v>1817</v>
      </c>
      <c r="E388">
        <v>111</v>
      </c>
      <c r="H388" t="s">
        <v>1541</v>
      </c>
      <c r="I388" s="2">
        <v>1400</v>
      </c>
      <c r="J388" s="2">
        <v>0</v>
      </c>
      <c r="K388" s="2" t="s">
        <v>863</v>
      </c>
      <c r="L388" s="43" t="s">
        <v>1672</v>
      </c>
      <c r="P388" s="41">
        <v>20</v>
      </c>
      <c r="Q388" s="41">
        <v>10</v>
      </c>
      <c r="R388" s="41">
        <v>48</v>
      </c>
      <c r="AH388" t="s">
        <v>359</v>
      </c>
    </row>
    <row r="389" spans="1:34" ht="15.75">
      <c r="A389" s="29">
        <f t="shared" si="6"/>
        <v>173</v>
      </c>
      <c r="B389" s="6" t="s">
        <v>4276</v>
      </c>
      <c r="C389">
        <v>5</v>
      </c>
      <c r="D389" s="2">
        <v>1817</v>
      </c>
      <c r="E389">
        <v>112</v>
      </c>
      <c r="H389" t="s">
        <v>1540</v>
      </c>
      <c r="I389" s="2">
        <v>173</v>
      </c>
      <c r="J389" s="2">
        <v>0</v>
      </c>
      <c r="K389" s="2" t="s">
        <v>863</v>
      </c>
      <c r="L389" s="43" t="s">
        <v>1668</v>
      </c>
      <c r="M389" s="41" t="s">
        <v>3137</v>
      </c>
      <c r="N389" s="41" t="s">
        <v>1669</v>
      </c>
      <c r="O389" s="41" t="s">
        <v>1670</v>
      </c>
      <c r="P389" s="41">
        <v>21</v>
      </c>
      <c r="Q389" s="41">
        <v>10</v>
      </c>
      <c r="R389" s="41" t="s">
        <v>1199</v>
      </c>
      <c r="V389" t="s">
        <v>1671</v>
      </c>
      <c r="AH389" t="s">
        <v>359</v>
      </c>
    </row>
    <row r="390" spans="1:34" ht="15.75">
      <c r="A390" s="29">
        <f t="shared" si="6"/>
        <v>100</v>
      </c>
      <c r="B390" s="6">
        <v>940</v>
      </c>
      <c r="C390">
        <v>5</v>
      </c>
      <c r="D390" s="2">
        <v>1817</v>
      </c>
      <c r="E390">
        <v>113</v>
      </c>
      <c r="H390" t="s">
        <v>1541</v>
      </c>
      <c r="I390" s="2">
        <v>100</v>
      </c>
      <c r="J390" s="2">
        <v>0</v>
      </c>
      <c r="K390" s="2" t="s">
        <v>863</v>
      </c>
      <c r="L390" s="43" t="s">
        <v>1657</v>
      </c>
      <c r="P390" s="41">
        <v>27</v>
      </c>
      <c r="Q390" s="41">
        <v>10</v>
      </c>
      <c r="R390" s="41">
        <v>74</v>
      </c>
      <c r="AH390" t="s">
        <v>359</v>
      </c>
    </row>
    <row r="391" spans="1:34" ht="15.75">
      <c r="A391" s="29">
        <f t="shared" si="6"/>
        <v>50</v>
      </c>
      <c r="B391" s="6">
        <v>944</v>
      </c>
      <c r="C391">
        <v>5</v>
      </c>
      <c r="D391" s="2">
        <v>1817</v>
      </c>
      <c r="E391">
        <v>114</v>
      </c>
      <c r="H391" t="s">
        <v>1540</v>
      </c>
      <c r="I391" s="2">
        <v>50</v>
      </c>
      <c r="J391" s="2">
        <v>0</v>
      </c>
      <c r="K391" s="2" t="s">
        <v>863</v>
      </c>
      <c r="L391" s="43" t="s">
        <v>3088</v>
      </c>
      <c r="P391" s="41">
        <v>30</v>
      </c>
      <c r="Q391" s="41">
        <v>10</v>
      </c>
      <c r="R391" s="41">
        <v>49</v>
      </c>
      <c r="AH391" t="s">
        <v>359</v>
      </c>
    </row>
    <row r="392" spans="1:34" ht="15.75">
      <c r="A392" s="29">
        <f t="shared" si="6"/>
        <v>46959</v>
      </c>
      <c r="B392" s="6">
        <v>940</v>
      </c>
      <c r="C392">
        <v>5</v>
      </c>
      <c r="D392" s="2">
        <v>1817</v>
      </c>
      <c r="E392">
        <v>116</v>
      </c>
      <c r="H392" t="s">
        <v>1540</v>
      </c>
      <c r="I392" s="2">
        <v>34959</v>
      </c>
      <c r="J392" s="2">
        <v>1200</v>
      </c>
      <c r="K392" s="2" t="s">
        <v>863</v>
      </c>
      <c r="L392" s="43" t="s">
        <v>3177</v>
      </c>
      <c r="M392" s="41" t="s">
        <v>2747</v>
      </c>
      <c r="N392" s="41" t="s">
        <v>2748</v>
      </c>
      <c r="O392" s="41" t="s">
        <v>2749</v>
      </c>
      <c r="P392" s="41">
        <v>7</v>
      </c>
      <c r="Q392" s="41">
        <v>11</v>
      </c>
      <c r="R392" s="41">
        <v>48</v>
      </c>
      <c r="S392" t="s">
        <v>2750</v>
      </c>
      <c r="T392" t="s">
        <v>2751</v>
      </c>
      <c r="V392" t="s">
        <v>2752</v>
      </c>
      <c r="X392">
        <v>0.5</v>
      </c>
      <c r="Y392" t="s">
        <v>2749</v>
      </c>
      <c r="AA392" t="s">
        <v>2753</v>
      </c>
      <c r="AH392" t="s">
        <v>359</v>
      </c>
    </row>
    <row r="393" spans="1:34" ht="15.75">
      <c r="A393" s="29">
        <f t="shared" si="6"/>
        <v>47055.16774</v>
      </c>
      <c r="B393" s="6">
        <v>943</v>
      </c>
      <c r="C393">
        <v>5</v>
      </c>
      <c r="D393" s="2">
        <v>1817</v>
      </c>
      <c r="E393">
        <v>117</v>
      </c>
      <c r="H393" t="s">
        <v>1541</v>
      </c>
      <c r="I393" s="2">
        <v>2674</v>
      </c>
      <c r="J393" s="2">
        <v>5109</v>
      </c>
      <c r="K393" s="2" t="s">
        <v>863</v>
      </c>
      <c r="L393" s="43" t="s">
        <v>2768</v>
      </c>
      <c r="M393" s="41" t="s">
        <v>3410</v>
      </c>
      <c r="O393" s="41" t="s">
        <v>2769</v>
      </c>
      <c r="P393" s="41">
        <v>16</v>
      </c>
      <c r="Q393" s="41">
        <v>11</v>
      </c>
      <c r="R393" s="41">
        <v>60</v>
      </c>
      <c r="S393" t="s">
        <v>2770</v>
      </c>
      <c r="T393" t="s">
        <v>882</v>
      </c>
      <c r="V393" t="s">
        <v>1183</v>
      </c>
      <c r="X393">
        <v>0.434343</v>
      </c>
      <c r="Y393" t="s">
        <v>2767</v>
      </c>
      <c r="AH393" t="s">
        <v>359</v>
      </c>
    </row>
    <row r="394" spans="1:34" ht="15.75">
      <c r="A394" s="29">
        <f t="shared" si="6"/>
        <v>1426</v>
      </c>
      <c r="B394" s="6" t="s">
        <v>4281</v>
      </c>
      <c r="C394">
        <v>5</v>
      </c>
      <c r="D394" s="2">
        <v>1817</v>
      </c>
      <c r="E394">
        <v>118</v>
      </c>
      <c r="H394" s="9" t="s">
        <v>1541</v>
      </c>
      <c r="I394" s="2">
        <v>1426</v>
      </c>
      <c r="J394" s="2">
        <v>0</v>
      </c>
      <c r="K394" s="2" t="s">
        <v>863</v>
      </c>
      <c r="L394" s="43" t="s">
        <v>3022</v>
      </c>
      <c r="M394" s="41" t="s">
        <v>856</v>
      </c>
      <c r="N394" s="41" t="s">
        <v>3453</v>
      </c>
      <c r="O394" s="41" t="s">
        <v>3023</v>
      </c>
      <c r="P394" s="41">
        <v>16</v>
      </c>
      <c r="Q394" s="41">
        <v>11</v>
      </c>
      <c r="R394" s="41">
        <v>73</v>
      </c>
      <c r="S394" t="s">
        <v>3343</v>
      </c>
      <c r="V394" t="s">
        <v>879</v>
      </c>
      <c r="AH394" t="s">
        <v>359</v>
      </c>
    </row>
    <row r="395" spans="1:34" ht="15.75">
      <c r="A395" s="29">
        <f t="shared" si="6"/>
        <v>5362</v>
      </c>
      <c r="B395" s="6">
        <v>941</v>
      </c>
      <c r="C395">
        <v>5</v>
      </c>
      <c r="D395" s="2">
        <v>1817</v>
      </c>
      <c r="E395">
        <v>119</v>
      </c>
      <c r="H395" t="s">
        <v>1540</v>
      </c>
      <c r="I395" s="2">
        <v>5362</v>
      </c>
      <c r="J395" s="2">
        <v>0</v>
      </c>
      <c r="K395" s="2" t="s">
        <v>863</v>
      </c>
      <c r="L395" s="43" t="s">
        <v>2731</v>
      </c>
      <c r="P395" s="41">
        <v>18</v>
      </c>
      <c r="Q395" s="41">
        <v>11</v>
      </c>
      <c r="R395" s="41">
        <v>55</v>
      </c>
      <c r="AH395" t="s">
        <v>359</v>
      </c>
    </row>
    <row r="396" spans="1:34" ht="15.75">
      <c r="A396" s="29">
        <f t="shared" si="6"/>
        <v>2965</v>
      </c>
      <c r="B396" s="6">
        <v>944</v>
      </c>
      <c r="C396">
        <v>5</v>
      </c>
      <c r="D396" s="2">
        <v>1817</v>
      </c>
      <c r="E396">
        <v>120</v>
      </c>
      <c r="H396" t="s">
        <v>1541</v>
      </c>
      <c r="I396" s="2">
        <v>2965</v>
      </c>
      <c r="J396" s="2">
        <v>0</v>
      </c>
      <c r="K396" s="2" t="s">
        <v>863</v>
      </c>
      <c r="L396" s="43" t="s">
        <v>3092</v>
      </c>
      <c r="P396" s="41">
        <v>19</v>
      </c>
      <c r="Q396" s="41">
        <v>11</v>
      </c>
      <c r="R396" s="41">
        <v>50</v>
      </c>
      <c r="AH396" t="s">
        <v>359</v>
      </c>
    </row>
    <row r="397" spans="1:34" ht="15.75">
      <c r="A397" s="29">
        <f t="shared" si="6"/>
        <v>272</v>
      </c>
      <c r="B397" s="6">
        <v>945</v>
      </c>
      <c r="C397">
        <v>5</v>
      </c>
      <c r="D397" s="2">
        <v>1817</v>
      </c>
      <c r="E397">
        <v>121</v>
      </c>
      <c r="H397" t="s">
        <v>1541</v>
      </c>
      <c r="I397" s="2">
        <v>272</v>
      </c>
      <c r="J397" s="2">
        <v>0</v>
      </c>
      <c r="K397" s="2" t="s">
        <v>863</v>
      </c>
      <c r="L397" s="43" t="s">
        <v>3021</v>
      </c>
      <c r="P397" s="41">
        <v>27</v>
      </c>
      <c r="Q397" s="41">
        <v>11</v>
      </c>
      <c r="R397" s="41">
        <v>75</v>
      </c>
      <c r="AH397" t="s">
        <v>359</v>
      </c>
    </row>
    <row r="398" spans="1:34" ht="15.75">
      <c r="A398" s="29">
        <f t="shared" si="6"/>
        <v>12523</v>
      </c>
      <c r="B398" s="6">
        <v>941</v>
      </c>
      <c r="C398">
        <v>5</v>
      </c>
      <c r="D398" s="2">
        <v>1817</v>
      </c>
      <c r="E398">
        <v>122</v>
      </c>
      <c r="H398" t="s">
        <v>1540</v>
      </c>
      <c r="I398" s="2">
        <v>2523</v>
      </c>
      <c r="J398" s="2">
        <v>500</v>
      </c>
      <c r="K398" s="2" t="s">
        <v>863</v>
      </c>
      <c r="L398" s="43" t="s">
        <v>1677</v>
      </c>
      <c r="P398" s="41">
        <v>5</v>
      </c>
      <c r="Q398" s="41">
        <v>12</v>
      </c>
      <c r="R398" s="41">
        <v>66</v>
      </c>
      <c r="X398">
        <v>1</v>
      </c>
      <c r="Y398" t="s">
        <v>1678</v>
      </c>
      <c r="AH398" t="s">
        <v>359</v>
      </c>
    </row>
    <row r="399" spans="1:34" ht="15.75">
      <c r="A399" s="29">
        <f t="shared" si="6"/>
        <v>3708</v>
      </c>
      <c r="B399" s="6">
        <v>942</v>
      </c>
      <c r="C399">
        <v>5</v>
      </c>
      <c r="D399" s="2">
        <v>1817</v>
      </c>
      <c r="E399">
        <v>123</v>
      </c>
      <c r="H399" t="s">
        <v>1541</v>
      </c>
      <c r="I399" s="2">
        <f>2472+1236</f>
        <v>3708</v>
      </c>
      <c r="J399" s="2">
        <v>0</v>
      </c>
      <c r="K399" s="2" t="s">
        <v>863</v>
      </c>
      <c r="L399" s="43" t="s">
        <v>3222</v>
      </c>
      <c r="M399" s="43" t="s">
        <v>1371</v>
      </c>
      <c r="O399" s="41" t="s">
        <v>923</v>
      </c>
      <c r="P399" s="41">
        <v>8</v>
      </c>
      <c r="Q399" s="41">
        <v>12</v>
      </c>
      <c r="R399" s="41">
        <v>21</v>
      </c>
      <c r="S399" t="s">
        <v>3223</v>
      </c>
      <c r="AH399" t="s">
        <v>359</v>
      </c>
    </row>
    <row r="400" spans="1:34" ht="15.75">
      <c r="A400" s="29">
        <f t="shared" si="6"/>
        <v>122</v>
      </c>
      <c r="B400" s="6">
        <v>945</v>
      </c>
      <c r="C400">
        <v>5</v>
      </c>
      <c r="D400" s="2">
        <v>1817</v>
      </c>
      <c r="E400">
        <v>124</v>
      </c>
      <c r="H400" t="s">
        <v>1541</v>
      </c>
      <c r="I400" s="2">
        <v>122</v>
      </c>
      <c r="J400" s="2">
        <v>0</v>
      </c>
      <c r="K400" s="2" t="s">
        <v>863</v>
      </c>
      <c r="L400" s="43" t="s">
        <v>3017</v>
      </c>
      <c r="P400" s="41">
        <v>13</v>
      </c>
      <c r="Q400" s="41">
        <v>12</v>
      </c>
      <c r="R400" s="41">
        <v>67</v>
      </c>
      <c r="AH400" t="s">
        <v>359</v>
      </c>
    </row>
    <row r="401" spans="1:34" ht="15.75">
      <c r="A401" s="29">
        <f t="shared" si="6"/>
        <v>2000</v>
      </c>
      <c r="B401" s="6">
        <v>938</v>
      </c>
      <c r="C401">
        <v>5</v>
      </c>
      <c r="D401" s="2">
        <v>1817</v>
      </c>
      <c r="E401">
        <v>125</v>
      </c>
      <c r="H401" t="s">
        <v>1541</v>
      </c>
      <c r="I401" s="2">
        <v>2000</v>
      </c>
      <c r="J401" s="2">
        <v>0</v>
      </c>
      <c r="K401" s="2" t="s">
        <v>863</v>
      </c>
      <c r="L401" s="43" t="s">
        <v>1617</v>
      </c>
      <c r="P401" s="41">
        <v>18</v>
      </c>
      <c r="Q401" s="41">
        <v>12</v>
      </c>
      <c r="R401" s="41" t="s">
        <v>1199</v>
      </c>
      <c r="AH401" t="s">
        <v>359</v>
      </c>
    </row>
    <row r="402" spans="1:34" ht="15.75">
      <c r="A402" s="29">
        <f t="shared" si="6"/>
        <v>61</v>
      </c>
      <c r="B402" s="6">
        <v>940</v>
      </c>
      <c r="C402">
        <v>5</v>
      </c>
      <c r="D402" s="2">
        <v>1817</v>
      </c>
      <c r="E402">
        <v>127</v>
      </c>
      <c r="H402" t="s">
        <v>1541</v>
      </c>
      <c r="I402" s="2">
        <v>61</v>
      </c>
      <c r="J402" s="2">
        <v>0</v>
      </c>
      <c r="K402" s="2" t="s">
        <v>863</v>
      </c>
      <c r="L402" s="43" t="s">
        <v>1672</v>
      </c>
      <c r="P402" s="41">
        <v>19</v>
      </c>
      <c r="Q402" s="41">
        <v>12</v>
      </c>
      <c r="R402" s="41">
        <v>63</v>
      </c>
      <c r="AH402" t="s">
        <v>359</v>
      </c>
    </row>
    <row r="403" spans="1:34" ht="15.75">
      <c r="A403" s="29">
        <f t="shared" si="6"/>
        <v>13234</v>
      </c>
      <c r="B403" s="6">
        <v>943</v>
      </c>
      <c r="C403">
        <v>5</v>
      </c>
      <c r="D403" s="2">
        <v>1817</v>
      </c>
      <c r="E403">
        <v>128</v>
      </c>
      <c r="H403" t="s">
        <v>1541</v>
      </c>
      <c r="I403" s="2">
        <v>13234</v>
      </c>
      <c r="J403" s="2">
        <v>0</v>
      </c>
      <c r="K403" s="2" t="s">
        <v>863</v>
      </c>
      <c r="L403" s="43" t="s">
        <v>3196</v>
      </c>
      <c r="P403" s="41">
        <v>22</v>
      </c>
      <c r="Q403" s="41">
        <v>12</v>
      </c>
      <c r="R403" s="41">
        <v>73</v>
      </c>
      <c r="AH403" t="s">
        <v>359</v>
      </c>
    </row>
    <row r="404" spans="1:34" ht="15.75">
      <c r="A404" s="29">
        <f t="shared" si="6"/>
        <v>73</v>
      </c>
      <c r="B404" s="6">
        <v>944</v>
      </c>
      <c r="C404">
        <v>5</v>
      </c>
      <c r="D404" s="2">
        <v>1817</v>
      </c>
      <c r="E404">
        <v>130</v>
      </c>
      <c r="H404" t="s">
        <v>1540</v>
      </c>
      <c r="I404" s="2">
        <v>73</v>
      </c>
      <c r="J404" s="2">
        <v>0</v>
      </c>
      <c r="K404" s="2" t="s">
        <v>863</v>
      </c>
      <c r="L404" s="43" t="s">
        <v>3083</v>
      </c>
      <c r="P404" s="41">
        <v>25</v>
      </c>
      <c r="Q404" s="41">
        <v>12</v>
      </c>
      <c r="R404" s="41">
        <v>59</v>
      </c>
      <c r="AH404" t="s">
        <v>359</v>
      </c>
    </row>
    <row r="405" spans="1:34" ht="15.75">
      <c r="A405" s="29">
        <f t="shared" si="6"/>
        <v>127</v>
      </c>
      <c r="B405" s="6">
        <v>944</v>
      </c>
      <c r="C405">
        <v>5</v>
      </c>
      <c r="D405" s="2">
        <v>1817</v>
      </c>
      <c r="E405">
        <v>131</v>
      </c>
      <c r="H405" t="s">
        <v>1541</v>
      </c>
      <c r="I405" s="2">
        <f>74+53</f>
        <v>127</v>
      </c>
      <c r="J405" s="2">
        <v>0</v>
      </c>
      <c r="K405" s="2" t="s">
        <v>863</v>
      </c>
      <c r="L405" s="43" t="s">
        <v>3092</v>
      </c>
      <c r="P405" s="41">
        <v>27</v>
      </c>
      <c r="Q405" s="41">
        <v>12</v>
      </c>
      <c r="R405" s="41">
        <v>60</v>
      </c>
      <c r="AH405" t="s">
        <v>359</v>
      </c>
    </row>
    <row r="406" spans="1:34" ht="15.75">
      <c r="A406" s="29">
        <f t="shared" si="6"/>
        <v>25749</v>
      </c>
      <c r="B406" s="6">
        <v>945</v>
      </c>
      <c r="C406">
        <v>5</v>
      </c>
      <c r="D406" s="2">
        <v>1817</v>
      </c>
      <c r="E406">
        <v>132</v>
      </c>
      <c r="H406" t="s">
        <v>1541</v>
      </c>
      <c r="I406" s="2">
        <f>23749+2000</f>
        <v>25749</v>
      </c>
      <c r="J406" s="2">
        <v>0</v>
      </c>
      <c r="K406" s="2" t="s">
        <v>863</v>
      </c>
      <c r="L406" s="43" t="s">
        <v>2771</v>
      </c>
      <c r="M406" s="41" t="s">
        <v>2772</v>
      </c>
      <c r="O406" s="41" t="s">
        <v>2773</v>
      </c>
      <c r="P406" s="41">
        <v>30</v>
      </c>
      <c r="Q406" s="41">
        <v>12</v>
      </c>
      <c r="R406" s="41">
        <v>62</v>
      </c>
      <c r="S406" t="s">
        <v>2774</v>
      </c>
      <c r="T406" t="s">
        <v>882</v>
      </c>
      <c r="V406" t="s">
        <v>2775</v>
      </c>
      <c r="AH406" t="s">
        <v>359</v>
      </c>
    </row>
    <row r="407" spans="1:34" ht="15.75">
      <c r="A407" s="29">
        <f t="shared" si="6"/>
        <v>791</v>
      </c>
      <c r="B407" s="6">
        <v>946</v>
      </c>
      <c r="C407">
        <v>5</v>
      </c>
      <c r="D407" s="2">
        <v>1817</v>
      </c>
      <c r="E407">
        <v>133</v>
      </c>
      <c r="H407" t="s">
        <v>1540</v>
      </c>
      <c r="I407" s="2">
        <v>791</v>
      </c>
      <c r="J407" s="2">
        <v>0</v>
      </c>
      <c r="K407" s="2" t="s">
        <v>863</v>
      </c>
      <c r="L407" s="43" t="s">
        <v>3030</v>
      </c>
      <c r="P407" s="41">
        <v>2</v>
      </c>
      <c r="Q407" s="41">
        <v>3</v>
      </c>
      <c r="R407" s="41">
        <v>54</v>
      </c>
      <c r="AH407" t="s">
        <v>359</v>
      </c>
    </row>
    <row r="408" spans="1:34" ht="15.75">
      <c r="A408" s="29">
        <f t="shared" si="6"/>
        <v>200</v>
      </c>
      <c r="B408" s="6">
        <v>950</v>
      </c>
      <c r="C408">
        <v>5</v>
      </c>
      <c r="D408" s="2">
        <v>1817</v>
      </c>
      <c r="E408">
        <v>134</v>
      </c>
      <c r="H408" t="s">
        <v>1540</v>
      </c>
      <c r="I408" s="2">
        <v>200</v>
      </c>
      <c r="J408" s="2">
        <v>0</v>
      </c>
      <c r="K408" s="2" t="s">
        <v>884</v>
      </c>
      <c r="L408" s="43" t="s">
        <v>3073</v>
      </c>
      <c r="P408" s="41">
        <v>1</v>
      </c>
      <c r="Q408" s="41">
        <v>1</v>
      </c>
      <c r="R408" s="41">
        <v>20</v>
      </c>
      <c r="AH408" t="s">
        <v>359</v>
      </c>
    </row>
    <row r="409" spans="1:34" ht="15.75">
      <c r="A409" s="29">
        <f t="shared" si="6"/>
        <v>39</v>
      </c>
      <c r="B409" s="6">
        <v>949</v>
      </c>
      <c r="C409">
        <v>5</v>
      </c>
      <c r="D409" s="2">
        <v>1817</v>
      </c>
      <c r="E409">
        <v>135</v>
      </c>
      <c r="H409" t="s">
        <v>1540</v>
      </c>
      <c r="I409" s="2">
        <v>39</v>
      </c>
      <c r="J409" s="2">
        <v>0</v>
      </c>
      <c r="K409" s="2" t="s">
        <v>884</v>
      </c>
      <c r="L409" s="43" t="s">
        <v>3054</v>
      </c>
      <c r="P409" s="41">
        <v>4</v>
      </c>
      <c r="Q409" s="41">
        <v>1</v>
      </c>
      <c r="R409" s="41">
        <v>66</v>
      </c>
      <c r="AH409" t="s">
        <v>359</v>
      </c>
    </row>
    <row r="410" spans="1:34" ht="15.75">
      <c r="A410" s="29">
        <f t="shared" si="6"/>
        <v>68909</v>
      </c>
      <c r="B410" s="6" t="s">
        <v>4295</v>
      </c>
      <c r="C410">
        <v>5</v>
      </c>
      <c r="D410" s="2">
        <v>1817</v>
      </c>
      <c r="E410">
        <v>136</v>
      </c>
      <c r="H410" t="s">
        <v>1540</v>
      </c>
      <c r="I410" s="2">
        <v>61109</v>
      </c>
      <c r="J410" s="2">
        <f>7800/20</f>
        <v>390</v>
      </c>
      <c r="K410" s="2" t="s">
        <v>884</v>
      </c>
      <c r="L410" s="43" t="s">
        <v>3060</v>
      </c>
      <c r="M410" s="41" t="s">
        <v>3061</v>
      </c>
      <c r="N410" s="41" t="s">
        <v>3136</v>
      </c>
      <c r="O410" s="41" t="s">
        <v>3062</v>
      </c>
      <c r="P410" s="41">
        <v>6</v>
      </c>
      <c r="Q410" s="41">
        <v>1</v>
      </c>
      <c r="R410" s="41">
        <v>67</v>
      </c>
      <c r="S410" t="s">
        <v>3343</v>
      </c>
      <c r="T410" t="s">
        <v>3063</v>
      </c>
      <c r="V410" t="s">
        <v>3064</v>
      </c>
      <c r="X410">
        <v>1</v>
      </c>
      <c r="Y410" t="s">
        <v>4296</v>
      </c>
      <c r="AH410" t="s">
        <v>359</v>
      </c>
    </row>
    <row r="411" spans="1:34" ht="15.75">
      <c r="A411" s="29">
        <f t="shared" si="6"/>
        <v>12000</v>
      </c>
      <c r="B411" s="6">
        <v>949</v>
      </c>
      <c r="C411">
        <v>5</v>
      </c>
      <c r="D411" s="2">
        <v>1817</v>
      </c>
      <c r="E411">
        <v>137</v>
      </c>
      <c r="H411" t="s">
        <v>1540</v>
      </c>
      <c r="I411" s="2">
        <v>0</v>
      </c>
      <c r="J411" s="2">
        <v>600</v>
      </c>
      <c r="K411" s="2" t="s">
        <v>884</v>
      </c>
      <c r="L411" s="43" t="s">
        <v>4662</v>
      </c>
      <c r="M411" s="41" t="s">
        <v>1273</v>
      </c>
      <c r="N411" s="41" t="s">
        <v>4663</v>
      </c>
      <c r="O411" s="41" t="s">
        <v>1161</v>
      </c>
      <c r="P411" s="41">
        <v>10</v>
      </c>
      <c r="Q411" s="41">
        <v>1</v>
      </c>
      <c r="R411" s="41" t="s">
        <v>1199</v>
      </c>
      <c r="S411" t="s">
        <v>4664</v>
      </c>
      <c r="T411" t="s">
        <v>1162</v>
      </c>
      <c r="V411" t="s">
        <v>903</v>
      </c>
      <c r="X411">
        <v>1</v>
      </c>
      <c r="Y411" t="s">
        <v>904</v>
      </c>
      <c r="AH411" t="s">
        <v>359</v>
      </c>
    </row>
    <row r="412" spans="1:34" ht="15.75">
      <c r="A412" s="29">
        <f t="shared" si="6"/>
        <v>5100</v>
      </c>
      <c r="B412" s="6">
        <v>948</v>
      </c>
      <c r="C412">
        <v>5</v>
      </c>
      <c r="D412" s="2">
        <v>1817</v>
      </c>
      <c r="E412">
        <v>138</v>
      </c>
      <c r="H412" t="s">
        <v>1540</v>
      </c>
      <c r="I412" s="2">
        <v>100</v>
      </c>
      <c r="J412" s="2">
        <v>500</v>
      </c>
      <c r="K412" s="2" t="s">
        <v>884</v>
      </c>
      <c r="L412" s="43" t="s">
        <v>3049</v>
      </c>
      <c r="P412" s="41">
        <v>11</v>
      </c>
      <c r="Q412" s="41">
        <v>1</v>
      </c>
      <c r="R412" s="41">
        <v>62</v>
      </c>
      <c r="X412">
        <v>0.5</v>
      </c>
      <c r="Y412" t="s">
        <v>3594</v>
      </c>
      <c r="AH412" t="s">
        <v>359</v>
      </c>
    </row>
    <row r="413" spans="1:34" ht="15.75">
      <c r="A413" s="29">
        <f t="shared" si="6"/>
        <v>1751</v>
      </c>
      <c r="B413" s="6" t="s">
        <v>4297</v>
      </c>
      <c r="C413">
        <v>5</v>
      </c>
      <c r="D413" s="2">
        <v>1817</v>
      </c>
      <c r="E413">
        <v>139</v>
      </c>
      <c r="H413" t="s">
        <v>1541</v>
      </c>
      <c r="I413" s="2">
        <v>1751</v>
      </c>
      <c r="J413" s="2">
        <v>0</v>
      </c>
      <c r="K413" s="2" t="s">
        <v>884</v>
      </c>
      <c r="L413" s="43" t="s">
        <v>3077</v>
      </c>
      <c r="M413" s="43" t="s">
        <v>1371</v>
      </c>
      <c r="N413" s="41" t="s">
        <v>3453</v>
      </c>
      <c r="O413" s="41" t="s">
        <v>3078</v>
      </c>
      <c r="P413" s="41">
        <v>14</v>
      </c>
      <c r="Q413" s="41">
        <v>1</v>
      </c>
      <c r="R413" s="41">
        <v>74</v>
      </c>
      <c r="S413" t="s">
        <v>3343</v>
      </c>
      <c r="V413" t="s">
        <v>3079</v>
      </c>
      <c r="AH413" t="s">
        <v>359</v>
      </c>
    </row>
    <row r="414" spans="1:34" ht="15.75">
      <c r="A414" s="29">
        <f t="shared" si="6"/>
        <v>556</v>
      </c>
      <c r="B414" s="6">
        <v>947</v>
      </c>
      <c r="C414">
        <v>5</v>
      </c>
      <c r="D414" s="2">
        <v>1817</v>
      </c>
      <c r="E414">
        <v>140</v>
      </c>
      <c r="H414" t="s">
        <v>1540</v>
      </c>
      <c r="I414" s="2">
        <v>556</v>
      </c>
      <c r="J414" s="2">
        <v>0</v>
      </c>
      <c r="K414" s="2" t="s">
        <v>884</v>
      </c>
      <c r="L414" s="43" t="s">
        <v>3075</v>
      </c>
      <c r="P414" s="41">
        <v>18</v>
      </c>
      <c r="Q414" s="41">
        <v>1</v>
      </c>
      <c r="R414" s="41">
        <v>41</v>
      </c>
      <c r="AH414" t="s">
        <v>359</v>
      </c>
    </row>
    <row r="415" spans="1:34" ht="15.75">
      <c r="A415" s="29">
        <f t="shared" si="6"/>
        <v>3849</v>
      </c>
      <c r="B415" s="6" t="s">
        <v>4295</v>
      </c>
      <c r="C415">
        <v>5</v>
      </c>
      <c r="D415" s="2">
        <v>1817</v>
      </c>
      <c r="E415">
        <v>141</v>
      </c>
      <c r="H415" t="s">
        <v>1541</v>
      </c>
      <c r="I415" s="2">
        <v>3849</v>
      </c>
      <c r="J415" s="2">
        <v>0</v>
      </c>
      <c r="K415" s="2" t="s">
        <v>884</v>
      </c>
      <c r="L415" s="43" t="s">
        <v>3055</v>
      </c>
      <c r="M415" s="41" t="s">
        <v>3056</v>
      </c>
      <c r="O415" s="41" t="s">
        <v>3057</v>
      </c>
      <c r="P415" s="41">
        <v>20</v>
      </c>
      <c r="Q415" s="41">
        <v>1</v>
      </c>
      <c r="R415" s="41">
        <v>66</v>
      </c>
      <c r="S415" t="s">
        <v>3058</v>
      </c>
      <c r="T415" t="s">
        <v>4649</v>
      </c>
      <c r="V415" t="s">
        <v>3059</v>
      </c>
      <c r="AH415" t="s">
        <v>359</v>
      </c>
    </row>
    <row r="416" spans="1:34" ht="15.75">
      <c r="A416" s="29">
        <f t="shared" si="6"/>
        <v>1555</v>
      </c>
      <c r="B416" s="6" t="s">
        <v>4281</v>
      </c>
      <c r="C416">
        <v>5</v>
      </c>
      <c r="D416" s="2">
        <v>1817</v>
      </c>
      <c r="E416">
        <v>142</v>
      </c>
      <c r="H416" t="s">
        <v>1541</v>
      </c>
      <c r="I416" s="2">
        <f>1037+518</f>
        <v>1555</v>
      </c>
      <c r="J416" s="2">
        <v>0</v>
      </c>
      <c r="K416" s="2" t="s">
        <v>884</v>
      </c>
      <c r="L416" s="43" t="s">
        <v>3033</v>
      </c>
      <c r="M416" s="41" t="s">
        <v>3034</v>
      </c>
      <c r="N416" s="41" t="s">
        <v>1555</v>
      </c>
      <c r="O416" s="41" t="s">
        <v>3035</v>
      </c>
      <c r="P416" s="41">
        <v>22</v>
      </c>
      <c r="Q416" s="41">
        <v>1</v>
      </c>
      <c r="R416" s="41">
        <v>51</v>
      </c>
      <c r="S416" t="s">
        <v>3036</v>
      </c>
      <c r="T416" t="s">
        <v>3037</v>
      </c>
      <c r="V416" t="s">
        <v>3038</v>
      </c>
      <c r="AH416" t="s">
        <v>359</v>
      </c>
    </row>
    <row r="417" spans="1:34" ht="15.75">
      <c r="A417" s="29">
        <f t="shared" si="6"/>
        <v>260</v>
      </c>
      <c r="B417" s="6">
        <v>949</v>
      </c>
      <c r="C417">
        <v>5</v>
      </c>
      <c r="D417" s="2">
        <v>1817</v>
      </c>
      <c r="E417">
        <v>143</v>
      </c>
      <c r="H417" t="s">
        <v>1540</v>
      </c>
      <c r="I417" s="2">
        <v>260</v>
      </c>
      <c r="J417" s="2">
        <v>0</v>
      </c>
      <c r="K417" s="2" t="s">
        <v>884</v>
      </c>
      <c r="L417" s="43" t="s">
        <v>3051</v>
      </c>
      <c r="P417" s="41">
        <v>11</v>
      </c>
      <c r="Q417" s="41">
        <v>2</v>
      </c>
      <c r="R417" s="41" t="s">
        <v>1199</v>
      </c>
      <c r="AH417" t="s">
        <v>359</v>
      </c>
    </row>
    <row r="418" spans="1:34" ht="15.75">
      <c r="A418" s="29">
        <f t="shared" si="6"/>
        <v>20000</v>
      </c>
      <c r="B418" s="10">
        <v>946</v>
      </c>
      <c r="C418">
        <v>5</v>
      </c>
      <c r="D418" s="8">
        <v>1817</v>
      </c>
      <c r="E418">
        <v>144</v>
      </c>
      <c r="F418" s="9"/>
      <c r="G418" s="9"/>
      <c r="H418" s="9" t="s">
        <v>1541</v>
      </c>
      <c r="I418" s="8">
        <v>0</v>
      </c>
      <c r="J418" s="8">
        <v>1000</v>
      </c>
      <c r="K418" s="2" t="s">
        <v>884</v>
      </c>
      <c r="L418" s="43" t="s">
        <v>3411</v>
      </c>
      <c r="M418" s="43" t="s">
        <v>2976</v>
      </c>
      <c r="N418" s="43"/>
      <c r="O418" s="43" t="s">
        <v>3412</v>
      </c>
      <c r="P418" s="43">
        <v>16</v>
      </c>
      <c r="Q418" s="43">
        <v>2</v>
      </c>
      <c r="R418" s="43"/>
      <c r="S418" s="12" t="s">
        <v>1547</v>
      </c>
      <c r="T418" s="12" t="s">
        <v>3413</v>
      </c>
      <c r="U418" s="12" t="s">
        <v>3412</v>
      </c>
      <c r="V418" s="12" t="s">
        <v>3414</v>
      </c>
      <c r="W418" s="12"/>
      <c r="X418" s="9">
        <v>1</v>
      </c>
      <c r="Y418" s="9" t="s">
        <v>3582</v>
      </c>
      <c r="Z418" s="9"/>
      <c r="AA418" s="9"/>
      <c r="AB418" s="9"/>
      <c r="AC418" s="9"/>
      <c r="AD418" s="9"/>
      <c r="AE418" s="9"/>
      <c r="AF418" s="9"/>
      <c r="AG418" s="9"/>
      <c r="AH418" t="s">
        <v>359</v>
      </c>
    </row>
    <row r="419" spans="1:34" ht="15.75">
      <c r="A419" s="29">
        <f t="shared" si="6"/>
        <v>40</v>
      </c>
      <c r="B419" s="6">
        <v>951</v>
      </c>
      <c r="C419">
        <v>5</v>
      </c>
      <c r="D419" s="2">
        <v>1817</v>
      </c>
      <c r="E419">
        <v>145</v>
      </c>
      <c r="H419" t="s">
        <v>1540</v>
      </c>
      <c r="I419" s="2">
        <v>40</v>
      </c>
      <c r="J419" s="2">
        <v>0</v>
      </c>
      <c r="K419" s="2" t="s">
        <v>884</v>
      </c>
      <c r="L419" s="43" t="s">
        <v>3109</v>
      </c>
      <c r="P419" s="41">
        <v>23</v>
      </c>
      <c r="Q419" s="41">
        <v>2</v>
      </c>
      <c r="R419" s="41">
        <v>26</v>
      </c>
      <c r="AH419" t="s">
        <v>359</v>
      </c>
    </row>
    <row r="420" spans="1:34" ht="15.75">
      <c r="A420" s="29">
        <f t="shared" si="6"/>
        <v>7850</v>
      </c>
      <c r="B420" s="6">
        <v>950</v>
      </c>
      <c r="C420">
        <v>5</v>
      </c>
      <c r="D420" s="2">
        <v>1817</v>
      </c>
      <c r="E420">
        <v>146</v>
      </c>
      <c r="H420" t="s">
        <v>1540</v>
      </c>
      <c r="I420" s="2">
        <v>7850</v>
      </c>
      <c r="J420" s="2">
        <v>0</v>
      </c>
      <c r="K420" s="2" t="s">
        <v>884</v>
      </c>
      <c r="L420" s="43" t="s">
        <v>3069</v>
      </c>
      <c r="P420" s="41">
        <v>24</v>
      </c>
      <c r="Q420" s="41">
        <v>2</v>
      </c>
      <c r="R420" s="41">
        <v>33</v>
      </c>
      <c r="AH420" t="s">
        <v>359</v>
      </c>
    </row>
    <row r="421" spans="1:34" ht="15.75">
      <c r="A421" s="29">
        <f t="shared" si="6"/>
        <v>21186</v>
      </c>
      <c r="B421" s="10">
        <v>947</v>
      </c>
      <c r="C421">
        <v>5</v>
      </c>
      <c r="D421" s="8">
        <v>1817</v>
      </c>
      <c r="E421">
        <v>147</v>
      </c>
      <c r="F421" s="9"/>
      <c r="G421" s="9"/>
      <c r="H421" s="9" t="s">
        <v>1540</v>
      </c>
      <c r="I421" s="8">
        <v>21186</v>
      </c>
      <c r="J421" s="8">
        <v>0</v>
      </c>
      <c r="K421" s="2" t="s">
        <v>884</v>
      </c>
      <c r="L421" s="43" t="s">
        <v>1188</v>
      </c>
      <c r="M421" s="43" t="s">
        <v>1189</v>
      </c>
      <c r="N421" s="43"/>
      <c r="O421" s="43" t="s">
        <v>1190</v>
      </c>
      <c r="P421" s="43">
        <v>4</v>
      </c>
      <c r="Q421" s="43">
        <v>3</v>
      </c>
      <c r="R421" s="43">
        <v>24</v>
      </c>
      <c r="S421" s="9" t="s">
        <v>1191</v>
      </c>
      <c r="T421" s="9" t="s">
        <v>1192</v>
      </c>
      <c r="U421" s="9"/>
      <c r="V421" s="9" t="s">
        <v>3530</v>
      </c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t="s">
        <v>359</v>
      </c>
    </row>
    <row r="422" spans="1:34" ht="15.75">
      <c r="A422" s="29">
        <f t="shared" si="6"/>
        <v>1075</v>
      </c>
      <c r="B422" s="6">
        <v>946</v>
      </c>
      <c r="C422">
        <v>5</v>
      </c>
      <c r="D422" s="2">
        <v>1817</v>
      </c>
      <c r="E422">
        <v>148</v>
      </c>
      <c r="H422" t="s">
        <v>1540</v>
      </c>
      <c r="I422" s="2">
        <v>1075</v>
      </c>
      <c r="J422" s="2">
        <v>0</v>
      </c>
      <c r="K422" s="2" t="s">
        <v>884</v>
      </c>
      <c r="L422" s="43" t="s">
        <v>3040</v>
      </c>
      <c r="P422" s="41">
        <v>6</v>
      </c>
      <c r="Q422" s="41">
        <v>3</v>
      </c>
      <c r="R422" s="41">
        <v>69</v>
      </c>
      <c r="AH422" t="s">
        <v>359</v>
      </c>
    </row>
    <row r="423" spans="1:34" ht="15.75">
      <c r="A423" s="29">
        <f t="shared" si="6"/>
        <v>60</v>
      </c>
      <c r="B423" s="6">
        <v>950</v>
      </c>
      <c r="C423">
        <v>5</v>
      </c>
      <c r="D423" s="2">
        <v>1817</v>
      </c>
      <c r="E423">
        <v>149</v>
      </c>
      <c r="H423" t="s">
        <v>4655</v>
      </c>
      <c r="I423" s="2">
        <v>60</v>
      </c>
      <c r="J423" s="2">
        <v>0</v>
      </c>
      <c r="K423" s="2" t="s">
        <v>884</v>
      </c>
      <c r="L423" s="43" t="s">
        <v>3067</v>
      </c>
      <c r="P423" s="41">
        <v>6</v>
      </c>
      <c r="Q423" s="41">
        <v>3</v>
      </c>
      <c r="R423" s="41">
        <v>72</v>
      </c>
      <c r="AH423" t="s">
        <v>359</v>
      </c>
    </row>
    <row r="424" spans="1:34" ht="15.75">
      <c r="A424" s="29">
        <f t="shared" si="6"/>
        <v>146</v>
      </c>
      <c r="B424" s="6">
        <v>951</v>
      </c>
      <c r="C424">
        <v>5</v>
      </c>
      <c r="D424" s="2">
        <v>1817</v>
      </c>
      <c r="E424">
        <v>150</v>
      </c>
      <c r="H424" t="s">
        <v>1540</v>
      </c>
      <c r="I424" s="2">
        <v>146</v>
      </c>
      <c r="J424" s="2">
        <v>0</v>
      </c>
      <c r="K424" s="2" t="s">
        <v>884</v>
      </c>
      <c r="L424" s="43" t="s">
        <v>3106</v>
      </c>
      <c r="P424" s="41">
        <v>14</v>
      </c>
      <c r="Q424" s="41">
        <v>3</v>
      </c>
      <c r="R424" s="41">
        <v>65</v>
      </c>
      <c r="AH424" t="s">
        <v>359</v>
      </c>
    </row>
    <row r="425" spans="1:34" ht="15.75">
      <c r="A425" s="29">
        <f t="shared" si="6"/>
        <v>0</v>
      </c>
      <c r="B425" s="6">
        <v>948</v>
      </c>
      <c r="C425">
        <v>5</v>
      </c>
      <c r="D425" s="2">
        <v>1817</v>
      </c>
      <c r="E425">
        <v>151</v>
      </c>
      <c r="H425" t="s">
        <v>1540</v>
      </c>
      <c r="I425" s="2">
        <v>0</v>
      </c>
      <c r="J425" s="2">
        <v>0</v>
      </c>
      <c r="K425" s="2" t="s">
        <v>884</v>
      </c>
      <c r="L425" s="43" t="s">
        <v>3043</v>
      </c>
      <c r="M425" s="41" t="s">
        <v>3044</v>
      </c>
      <c r="N425" s="41" t="s">
        <v>3045</v>
      </c>
      <c r="O425" s="41" t="s">
        <v>3046</v>
      </c>
      <c r="P425" s="41">
        <v>17</v>
      </c>
      <c r="Q425" s="41">
        <v>3</v>
      </c>
      <c r="R425" s="41">
        <v>60</v>
      </c>
      <c r="S425" t="s">
        <v>3047</v>
      </c>
      <c r="T425" t="s">
        <v>3037</v>
      </c>
      <c r="V425" t="s">
        <v>2949</v>
      </c>
      <c r="AH425" t="s">
        <v>359</v>
      </c>
    </row>
    <row r="426" spans="1:34" ht="15.75">
      <c r="A426" s="29">
        <f t="shared" si="6"/>
        <v>60</v>
      </c>
      <c r="B426" s="6">
        <v>947</v>
      </c>
      <c r="C426">
        <v>5</v>
      </c>
      <c r="D426" s="2">
        <v>1817</v>
      </c>
      <c r="E426">
        <v>152</v>
      </c>
      <c r="H426" t="s">
        <v>1541</v>
      </c>
      <c r="I426" s="2">
        <v>60</v>
      </c>
      <c r="J426" s="2">
        <v>0</v>
      </c>
      <c r="K426" s="2" t="s">
        <v>884</v>
      </c>
      <c r="L426" s="43" t="s">
        <v>2743</v>
      </c>
      <c r="P426" s="41">
        <v>22</v>
      </c>
      <c r="Q426" s="41">
        <v>3</v>
      </c>
      <c r="R426" s="41">
        <v>58</v>
      </c>
      <c r="AH426" t="s">
        <v>359</v>
      </c>
    </row>
    <row r="427" spans="1:34" ht="15.75">
      <c r="A427" s="29">
        <f t="shared" si="6"/>
        <v>998</v>
      </c>
      <c r="B427" s="6">
        <v>950</v>
      </c>
      <c r="C427">
        <v>5</v>
      </c>
      <c r="D427" s="2">
        <v>1817</v>
      </c>
      <c r="E427">
        <v>153</v>
      </c>
      <c r="H427" t="s">
        <v>1540</v>
      </c>
      <c r="I427" s="2">
        <v>998</v>
      </c>
      <c r="J427" s="2">
        <v>0</v>
      </c>
      <c r="K427" s="2" t="s">
        <v>884</v>
      </c>
      <c r="L427" s="43" t="s">
        <v>1327</v>
      </c>
      <c r="P427" s="41">
        <v>1</v>
      </c>
      <c r="Q427" s="41">
        <v>4</v>
      </c>
      <c r="R427" s="41">
        <v>69</v>
      </c>
      <c r="AH427" t="s">
        <v>359</v>
      </c>
    </row>
    <row r="428" spans="1:34" ht="15.75">
      <c r="A428" s="29">
        <f t="shared" si="6"/>
        <v>346</v>
      </c>
      <c r="B428" s="6">
        <v>947</v>
      </c>
      <c r="C428">
        <v>5</v>
      </c>
      <c r="D428" s="2">
        <v>1817</v>
      </c>
      <c r="E428">
        <v>154</v>
      </c>
      <c r="H428" t="s">
        <v>1541</v>
      </c>
      <c r="I428" s="2">
        <v>346</v>
      </c>
      <c r="J428" s="2">
        <v>0</v>
      </c>
      <c r="K428" s="2" t="s">
        <v>884</v>
      </c>
      <c r="L428" s="43" t="s">
        <v>3082</v>
      </c>
      <c r="P428" s="41">
        <v>3</v>
      </c>
      <c r="Q428" s="41">
        <v>4</v>
      </c>
      <c r="R428" s="41">
        <v>63</v>
      </c>
      <c r="AH428" t="s">
        <v>359</v>
      </c>
    </row>
    <row r="429" spans="1:34" ht="15.75">
      <c r="A429" s="29">
        <f t="shared" si="6"/>
        <v>9038</v>
      </c>
      <c r="B429" s="6">
        <v>951</v>
      </c>
      <c r="C429">
        <v>5</v>
      </c>
      <c r="D429" s="2">
        <v>1817</v>
      </c>
      <c r="E429">
        <v>156</v>
      </c>
      <c r="H429" t="s">
        <v>1540</v>
      </c>
      <c r="I429" s="2">
        <f>430+8500+108</f>
        <v>9038</v>
      </c>
      <c r="J429" s="2">
        <v>0</v>
      </c>
      <c r="K429" s="2" t="s">
        <v>884</v>
      </c>
      <c r="L429" s="43" t="s">
        <v>3107</v>
      </c>
      <c r="P429" s="41">
        <v>16</v>
      </c>
      <c r="Q429" s="41">
        <v>4</v>
      </c>
      <c r="R429" s="41" t="s">
        <v>1199</v>
      </c>
      <c r="U429" t="s">
        <v>1161</v>
      </c>
      <c r="AH429" t="s">
        <v>359</v>
      </c>
    </row>
    <row r="430" spans="1:34" ht="15.75">
      <c r="A430" s="29">
        <f t="shared" si="6"/>
        <v>68</v>
      </c>
      <c r="B430" s="6">
        <v>949</v>
      </c>
      <c r="C430">
        <v>5</v>
      </c>
      <c r="D430" s="2">
        <v>1817</v>
      </c>
      <c r="E430">
        <v>157</v>
      </c>
      <c r="H430" t="s">
        <v>1540</v>
      </c>
      <c r="I430" s="2">
        <v>68</v>
      </c>
      <c r="J430" s="2">
        <v>0</v>
      </c>
      <c r="K430" s="2" t="s">
        <v>884</v>
      </c>
      <c r="L430" s="43" t="s">
        <v>3054</v>
      </c>
      <c r="P430" s="41">
        <v>24</v>
      </c>
      <c r="Q430" s="41">
        <v>4</v>
      </c>
      <c r="R430" s="41">
        <v>59</v>
      </c>
      <c r="AH430" t="s">
        <v>359</v>
      </c>
    </row>
    <row r="431" spans="1:34" ht="15.75">
      <c r="A431" s="29">
        <f t="shared" si="6"/>
        <v>32963</v>
      </c>
      <c r="B431" s="6">
        <v>949</v>
      </c>
      <c r="C431">
        <v>5</v>
      </c>
      <c r="D431" s="2">
        <v>1817</v>
      </c>
      <c r="E431">
        <v>158</v>
      </c>
      <c r="H431" t="s">
        <v>1541</v>
      </c>
      <c r="I431" s="2">
        <v>5863</v>
      </c>
      <c r="J431" s="2">
        <f>625+370+360</f>
        <v>1355</v>
      </c>
      <c r="K431" s="2" t="s">
        <v>884</v>
      </c>
      <c r="L431" s="43" t="s">
        <v>3596</v>
      </c>
      <c r="M431" s="41" t="s">
        <v>3597</v>
      </c>
      <c r="O431" s="41" t="s">
        <v>3598</v>
      </c>
      <c r="P431" s="41">
        <v>25</v>
      </c>
      <c r="Q431" s="41">
        <v>4</v>
      </c>
      <c r="R431" s="41">
        <v>52</v>
      </c>
      <c r="S431" t="s">
        <v>3599</v>
      </c>
      <c r="T431" t="s">
        <v>3600</v>
      </c>
      <c r="V431" t="s">
        <v>3601</v>
      </c>
      <c r="X431">
        <v>1</v>
      </c>
      <c r="Y431" t="s">
        <v>3595</v>
      </c>
      <c r="AH431" t="s">
        <v>359</v>
      </c>
    </row>
    <row r="432" spans="1:34" ht="15.75">
      <c r="A432" s="29">
        <f t="shared" si="6"/>
        <v>5347</v>
      </c>
      <c r="B432" s="6">
        <v>947</v>
      </c>
      <c r="C432">
        <v>5</v>
      </c>
      <c r="D432" s="2">
        <v>1817</v>
      </c>
      <c r="E432">
        <v>159</v>
      </c>
      <c r="H432" t="s">
        <v>1541</v>
      </c>
      <c r="I432" s="2">
        <v>847</v>
      </c>
      <c r="J432" s="2">
        <v>450</v>
      </c>
      <c r="K432" s="2" t="s">
        <v>884</v>
      </c>
      <c r="L432" s="43" t="s">
        <v>1193</v>
      </c>
      <c r="M432" s="41" t="s">
        <v>3449</v>
      </c>
      <c r="N432" s="41" t="s">
        <v>3453</v>
      </c>
      <c r="O432" s="41" t="s">
        <v>1194</v>
      </c>
      <c r="P432" s="41">
        <v>1</v>
      </c>
      <c r="Q432" s="41">
        <v>5</v>
      </c>
      <c r="R432" s="41">
        <v>66</v>
      </c>
      <c r="S432" t="s">
        <v>1195</v>
      </c>
      <c r="T432" t="s">
        <v>4649</v>
      </c>
      <c r="V432" t="s">
        <v>4644</v>
      </c>
      <c r="X432">
        <v>0.5</v>
      </c>
      <c r="Y432" t="s">
        <v>3587</v>
      </c>
      <c r="AH432" t="s">
        <v>359</v>
      </c>
    </row>
    <row r="433" spans="1:34" ht="15.75">
      <c r="A433" s="29">
        <f t="shared" si="6"/>
        <v>35560</v>
      </c>
      <c r="B433" s="10">
        <v>947</v>
      </c>
      <c r="C433">
        <v>5</v>
      </c>
      <c r="D433" s="8">
        <v>1817</v>
      </c>
      <c r="E433">
        <v>160</v>
      </c>
      <c r="F433" s="9"/>
      <c r="G433" s="9"/>
      <c r="H433" s="9" t="s">
        <v>1541</v>
      </c>
      <c r="I433" s="8">
        <v>0</v>
      </c>
      <c r="J433" s="8">
        <v>1778</v>
      </c>
      <c r="K433" s="2" t="s">
        <v>884</v>
      </c>
      <c r="L433" s="43" t="s">
        <v>2739</v>
      </c>
      <c r="M433" s="43" t="s">
        <v>2740</v>
      </c>
      <c r="N433" s="43"/>
      <c r="O433" s="41" t="s">
        <v>2741</v>
      </c>
      <c r="P433" s="41">
        <v>6</v>
      </c>
      <c r="Q433" s="41">
        <v>5</v>
      </c>
      <c r="R433" s="41" t="s">
        <v>1199</v>
      </c>
      <c r="T433" t="s">
        <v>1185</v>
      </c>
      <c r="V433" t="s">
        <v>5817</v>
      </c>
      <c r="X433">
        <v>1</v>
      </c>
      <c r="Y433" t="s">
        <v>1186</v>
      </c>
      <c r="AH433" t="s">
        <v>359</v>
      </c>
    </row>
    <row r="434" spans="1:34" ht="15.75">
      <c r="A434" s="29">
        <f t="shared" si="6"/>
        <v>2020</v>
      </c>
      <c r="B434" s="6">
        <v>950</v>
      </c>
      <c r="C434">
        <v>5</v>
      </c>
      <c r="D434" s="2">
        <v>1817</v>
      </c>
      <c r="E434">
        <v>161</v>
      </c>
      <c r="H434" t="s">
        <v>1540</v>
      </c>
      <c r="I434" s="2">
        <v>2020</v>
      </c>
      <c r="J434" s="2">
        <v>0</v>
      </c>
      <c r="K434" s="2" t="s">
        <v>884</v>
      </c>
      <c r="L434" s="43" t="s">
        <v>3073</v>
      </c>
      <c r="P434" s="41">
        <v>6</v>
      </c>
      <c r="Q434" s="41">
        <v>5</v>
      </c>
      <c r="R434" s="41">
        <v>67</v>
      </c>
      <c r="AH434" t="s">
        <v>359</v>
      </c>
    </row>
    <row r="435" spans="1:34" ht="15.75">
      <c r="A435" s="29">
        <f t="shared" si="6"/>
        <v>15</v>
      </c>
      <c r="B435" s="6">
        <v>947</v>
      </c>
      <c r="C435">
        <v>5</v>
      </c>
      <c r="D435" s="2">
        <v>1817</v>
      </c>
      <c r="E435">
        <v>162</v>
      </c>
      <c r="H435" t="s">
        <v>1541</v>
      </c>
      <c r="I435" s="2">
        <v>15</v>
      </c>
      <c r="J435" s="2">
        <v>0</v>
      </c>
      <c r="K435" s="2" t="s">
        <v>884</v>
      </c>
      <c r="L435" s="43" t="s">
        <v>2742</v>
      </c>
      <c r="P435" s="41">
        <v>4</v>
      </c>
      <c r="Q435" s="41">
        <v>6</v>
      </c>
      <c r="R435" s="41">
        <v>63</v>
      </c>
      <c r="AH435" t="s">
        <v>359</v>
      </c>
    </row>
    <row r="436" spans="1:34" ht="15.75">
      <c r="A436" s="29">
        <f t="shared" si="6"/>
        <v>597</v>
      </c>
      <c r="B436" s="6">
        <v>951</v>
      </c>
      <c r="C436">
        <v>5</v>
      </c>
      <c r="D436" s="2">
        <v>1817</v>
      </c>
      <c r="E436">
        <v>163</v>
      </c>
      <c r="H436" t="s">
        <v>1541</v>
      </c>
      <c r="I436" s="2">
        <v>597</v>
      </c>
      <c r="J436" s="2">
        <v>0</v>
      </c>
      <c r="K436" s="2" t="s">
        <v>884</v>
      </c>
      <c r="L436" s="43" t="s">
        <v>3109</v>
      </c>
      <c r="P436" s="41">
        <v>19</v>
      </c>
      <c r="Q436" s="41">
        <v>6</v>
      </c>
      <c r="R436" s="41">
        <v>35</v>
      </c>
      <c r="AH436" t="s">
        <v>359</v>
      </c>
    </row>
    <row r="437" spans="1:34" ht="15.75">
      <c r="A437" s="29">
        <f t="shared" si="6"/>
        <v>70</v>
      </c>
      <c r="B437" s="6">
        <v>951</v>
      </c>
      <c r="C437">
        <v>5</v>
      </c>
      <c r="D437" s="2">
        <v>1817</v>
      </c>
      <c r="E437">
        <v>164</v>
      </c>
      <c r="H437" t="s">
        <v>1541</v>
      </c>
      <c r="I437" s="2">
        <v>70</v>
      </c>
      <c r="J437" s="2">
        <v>0</v>
      </c>
      <c r="K437" s="2" t="s">
        <v>884</v>
      </c>
      <c r="L437" s="43" t="s">
        <v>3108</v>
      </c>
      <c r="P437" s="41">
        <v>21</v>
      </c>
      <c r="Q437" s="41">
        <v>6</v>
      </c>
      <c r="R437" s="41">
        <v>41</v>
      </c>
      <c r="AH437" t="s">
        <v>359</v>
      </c>
    </row>
    <row r="438" spans="1:34" ht="15.75">
      <c r="A438" s="29">
        <f t="shared" si="6"/>
        <v>400</v>
      </c>
      <c r="B438" s="6">
        <v>949</v>
      </c>
      <c r="C438">
        <v>5</v>
      </c>
      <c r="D438" s="2">
        <v>1817</v>
      </c>
      <c r="E438">
        <v>165</v>
      </c>
      <c r="H438" t="s">
        <v>1540</v>
      </c>
      <c r="I438" s="2">
        <v>400</v>
      </c>
      <c r="J438" s="2">
        <v>0</v>
      </c>
      <c r="K438" s="2" t="s">
        <v>884</v>
      </c>
      <c r="L438" s="43" t="s">
        <v>3052</v>
      </c>
      <c r="P438" s="41">
        <v>25</v>
      </c>
      <c r="Q438" s="41">
        <v>6</v>
      </c>
      <c r="R438" s="41">
        <v>79</v>
      </c>
      <c r="AH438" t="s">
        <v>359</v>
      </c>
    </row>
    <row r="439" spans="1:34" ht="15.75">
      <c r="A439" s="29">
        <f t="shared" si="6"/>
        <v>116</v>
      </c>
      <c r="B439" s="6">
        <v>949</v>
      </c>
      <c r="C439">
        <v>5</v>
      </c>
      <c r="D439" s="2">
        <v>1817</v>
      </c>
      <c r="E439">
        <v>166</v>
      </c>
      <c r="H439" t="s">
        <v>1541</v>
      </c>
      <c r="I439" s="2">
        <v>116</v>
      </c>
      <c r="J439" s="2">
        <v>0</v>
      </c>
      <c r="K439" s="2" t="s">
        <v>884</v>
      </c>
      <c r="L439" s="43" t="s">
        <v>3053</v>
      </c>
      <c r="P439" s="41">
        <v>28</v>
      </c>
      <c r="Q439" s="41">
        <v>6</v>
      </c>
      <c r="R439" s="41">
        <v>28</v>
      </c>
      <c r="AH439" t="s">
        <v>359</v>
      </c>
    </row>
    <row r="440" spans="1:34" ht="15.75">
      <c r="A440" s="29">
        <f t="shared" si="6"/>
        <v>5</v>
      </c>
      <c r="B440" s="6">
        <v>950</v>
      </c>
      <c r="C440">
        <v>5</v>
      </c>
      <c r="D440" s="2">
        <v>1817</v>
      </c>
      <c r="E440">
        <v>168</v>
      </c>
      <c r="H440" t="s">
        <v>1540</v>
      </c>
      <c r="I440" s="2">
        <v>5</v>
      </c>
      <c r="J440" s="2">
        <v>0</v>
      </c>
      <c r="K440" s="2" t="s">
        <v>884</v>
      </c>
      <c r="L440" s="43" t="s">
        <v>3068</v>
      </c>
      <c r="P440" s="41">
        <v>11</v>
      </c>
      <c r="Q440" s="41">
        <v>7</v>
      </c>
      <c r="R440" s="41">
        <v>63</v>
      </c>
      <c r="AH440" t="s">
        <v>359</v>
      </c>
    </row>
    <row r="441" spans="1:34" ht="15.75">
      <c r="A441" s="29">
        <f t="shared" si="6"/>
        <v>0</v>
      </c>
      <c r="B441" s="6">
        <v>951</v>
      </c>
      <c r="C441">
        <v>5</v>
      </c>
      <c r="D441" s="2">
        <v>1817</v>
      </c>
      <c r="E441">
        <v>169</v>
      </c>
      <c r="H441" t="s">
        <v>1541</v>
      </c>
      <c r="I441" s="2">
        <v>0</v>
      </c>
      <c r="J441" s="2">
        <v>0</v>
      </c>
      <c r="K441" s="2" t="s">
        <v>884</v>
      </c>
      <c r="L441" s="43" t="s">
        <v>3110</v>
      </c>
      <c r="M441" s="41" t="s">
        <v>3111</v>
      </c>
      <c r="O441" s="41" t="s">
        <v>3284</v>
      </c>
      <c r="P441" s="41">
        <v>15</v>
      </c>
      <c r="Q441" s="41">
        <v>7</v>
      </c>
      <c r="R441" s="41">
        <v>49</v>
      </c>
      <c r="S441" t="s">
        <v>3112</v>
      </c>
      <c r="T441" t="s">
        <v>3384</v>
      </c>
      <c r="V441" t="s">
        <v>3113</v>
      </c>
      <c r="AH441" t="s">
        <v>359</v>
      </c>
    </row>
    <row r="442" spans="1:34" ht="15.75">
      <c r="A442" s="29">
        <f t="shared" si="6"/>
        <v>342</v>
      </c>
      <c r="B442" s="6">
        <v>950</v>
      </c>
      <c r="C442">
        <v>5</v>
      </c>
      <c r="D442" s="2">
        <v>1817</v>
      </c>
      <c r="E442">
        <v>170</v>
      </c>
      <c r="H442" t="s">
        <v>1540</v>
      </c>
      <c r="I442" s="2">
        <v>342</v>
      </c>
      <c r="J442" s="2">
        <v>0</v>
      </c>
      <c r="K442" s="2" t="s">
        <v>884</v>
      </c>
      <c r="L442" s="43" t="s">
        <v>3072</v>
      </c>
      <c r="P442" s="41">
        <v>21</v>
      </c>
      <c r="Q442" s="41">
        <v>7</v>
      </c>
      <c r="R442" s="41">
        <v>69</v>
      </c>
      <c r="AH442" t="s">
        <v>359</v>
      </c>
    </row>
    <row r="443" spans="1:34" ht="15.75">
      <c r="A443" s="29">
        <f t="shared" si="6"/>
        <v>0</v>
      </c>
      <c r="B443" s="6">
        <v>947</v>
      </c>
      <c r="C443">
        <v>5</v>
      </c>
      <c r="D443" s="2">
        <v>1817</v>
      </c>
      <c r="E443">
        <v>171</v>
      </c>
      <c r="H443" t="s">
        <v>1541</v>
      </c>
      <c r="I443" s="2">
        <v>0</v>
      </c>
      <c r="J443" s="2">
        <v>0</v>
      </c>
      <c r="K443" s="2" t="s">
        <v>884</v>
      </c>
      <c r="L443" s="43" t="s">
        <v>2744</v>
      </c>
      <c r="M443" s="41" t="s">
        <v>2745</v>
      </c>
      <c r="O443" s="41" t="s">
        <v>3194</v>
      </c>
      <c r="P443" s="41">
        <v>22</v>
      </c>
      <c r="Q443" s="41">
        <v>7</v>
      </c>
      <c r="R443" s="41">
        <v>27</v>
      </c>
      <c r="S443" t="s">
        <v>2746</v>
      </c>
      <c r="V443" t="s">
        <v>703</v>
      </c>
      <c r="AH443" t="s">
        <v>359</v>
      </c>
    </row>
    <row r="444" spans="1:34" ht="15.75">
      <c r="A444" s="29">
        <f t="shared" si="6"/>
        <v>154</v>
      </c>
      <c r="B444" s="6">
        <v>946</v>
      </c>
      <c r="C444">
        <v>5</v>
      </c>
      <c r="D444" s="2">
        <v>1817</v>
      </c>
      <c r="E444">
        <v>173</v>
      </c>
      <c r="H444" t="s">
        <v>1541</v>
      </c>
      <c r="I444" s="2">
        <v>154</v>
      </c>
      <c r="J444" s="2">
        <v>0</v>
      </c>
      <c r="K444" s="2" t="s">
        <v>884</v>
      </c>
      <c r="L444" s="43" t="s">
        <v>3041</v>
      </c>
      <c r="P444" s="41">
        <v>10</v>
      </c>
      <c r="Q444" s="41">
        <v>8</v>
      </c>
      <c r="R444" s="41">
        <v>70</v>
      </c>
      <c r="AH444" t="s">
        <v>359</v>
      </c>
    </row>
    <row r="445" spans="1:34" ht="15.75">
      <c r="A445" s="29">
        <f t="shared" si="6"/>
        <v>4343</v>
      </c>
      <c r="B445" s="6">
        <v>951</v>
      </c>
      <c r="C445">
        <v>5</v>
      </c>
      <c r="D445" s="2">
        <v>1817</v>
      </c>
      <c r="E445">
        <v>174</v>
      </c>
      <c r="H445" t="s">
        <v>1540</v>
      </c>
      <c r="I445" s="2">
        <f>2703+1640</f>
        <v>4343</v>
      </c>
      <c r="J445" s="2">
        <v>0</v>
      </c>
      <c r="K445" s="2" t="s">
        <v>884</v>
      </c>
      <c r="L445" s="43" t="s">
        <v>3106</v>
      </c>
      <c r="P445" s="41">
        <v>10</v>
      </c>
      <c r="Q445" s="41">
        <v>8</v>
      </c>
      <c r="R445" s="41">
        <v>61</v>
      </c>
      <c r="AH445" t="s">
        <v>359</v>
      </c>
    </row>
    <row r="446" spans="1:34" ht="15.75">
      <c r="A446" s="29">
        <f t="shared" si="6"/>
        <v>120</v>
      </c>
      <c r="B446" s="6">
        <v>949</v>
      </c>
      <c r="C446">
        <v>5</v>
      </c>
      <c r="D446" s="2">
        <v>1817</v>
      </c>
      <c r="E446">
        <v>175</v>
      </c>
      <c r="H446" t="s">
        <v>1541</v>
      </c>
      <c r="I446" s="2">
        <v>120</v>
      </c>
      <c r="J446" s="2">
        <v>0</v>
      </c>
      <c r="K446" s="2" t="s">
        <v>884</v>
      </c>
      <c r="L446" s="43" t="s">
        <v>3066</v>
      </c>
      <c r="P446" s="41">
        <v>14</v>
      </c>
      <c r="Q446" s="41">
        <v>8</v>
      </c>
      <c r="R446" s="41">
        <v>62</v>
      </c>
      <c r="AH446" t="s">
        <v>359</v>
      </c>
    </row>
    <row r="447" spans="1:34" ht="15.75">
      <c r="A447" s="29">
        <f t="shared" si="6"/>
        <v>98040</v>
      </c>
      <c r="B447" s="6">
        <v>950</v>
      </c>
      <c r="C447">
        <v>5</v>
      </c>
      <c r="D447" s="2">
        <v>1817</v>
      </c>
      <c r="E447">
        <v>176</v>
      </c>
      <c r="H447" t="s">
        <v>1541</v>
      </c>
      <c r="I447" s="2">
        <v>98040</v>
      </c>
      <c r="J447" s="2">
        <v>0</v>
      </c>
      <c r="K447" s="2" t="s">
        <v>884</v>
      </c>
      <c r="L447" s="43" t="s">
        <v>3602</v>
      </c>
      <c r="M447" s="41" t="s">
        <v>3603</v>
      </c>
      <c r="O447" s="41" t="s">
        <v>3604</v>
      </c>
      <c r="P447" s="41">
        <v>19</v>
      </c>
      <c r="Q447" s="41">
        <v>8</v>
      </c>
      <c r="R447" s="41">
        <v>34</v>
      </c>
      <c r="S447" t="s">
        <v>3605</v>
      </c>
      <c r="T447" t="s">
        <v>3606</v>
      </c>
      <c r="V447" t="s">
        <v>3607</v>
      </c>
      <c r="AH447" t="s">
        <v>359</v>
      </c>
    </row>
    <row r="448" spans="1:34" ht="15.75">
      <c r="A448" s="29">
        <f t="shared" si="6"/>
        <v>60</v>
      </c>
      <c r="B448" s="6">
        <v>947</v>
      </c>
      <c r="C448">
        <v>5</v>
      </c>
      <c r="D448" s="2">
        <v>1817</v>
      </c>
      <c r="E448">
        <v>177</v>
      </c>
      <c r="H448" t="s">
        <v>1541</v>
      </c>
      <c r="I448" s="2">
        <v>60</v>
      </c>
      <c r="J448" s="2">
        <v>0</v>
      </c>
      <c r="K448" s="2" t="s">
        <v>884</v>
      </c>
      <c r="L448" s="43" t="s">
        <v>3081</v>
      </c>
      <c r="P448" s="41">
        <v>20</v>
      </c>
      <c r="Q448" s="41">
        <v>8</v>
      </c>
      <c r="R448" s="41">
        <v>74</v>
      </c>
      <c r="AH448" t="s">
        <v>359</v>
      </c>
    </row>
    <row r="449" spans="1:34" ht="15.75">
      <c r="A449" s="29">
        <f t="shared" si="6"/>
        <v>45954</v>
      </c>
      <c r="B449" s="6">
        <v>947</v>
      </c>
      <c r="C449">
        <v>5</v>
      </c>
      <c r="D449" s="2">
        <v>1817</v>
      </c>
      <c r="E449">
        <v>178</v>
      </c>
      <c r="H449" t="s">
        <v>1541</v>
      </c>
      <c r="I449" s="2">
        <v>45954</v>
      </c>
      <c r="J449" s="2">
        <v>0</v>
      </c>
      <c r="K449" s="2" t="s">
        <v>884</v>
      </c>
      <c r="L449" s="43" t="s">
        <v>3588</v>
      </c>
      <c r="M449" s="41" t="s">
        <v>3589</v>
      </c>
      <c r="O449" s="41" t="s">
        <v>3590</v>
      </c>
      <c r="P449" s="41">
        <v>30</v>
      </c>
      <c r="Q449" s="41">
        <v>8</v>
      </c>
      <c r="R449" s="41">
        <v>29</v>
      </c>
      <c r="S449" t="s">
        <v>3591</v>
      </c>
      <c r="T449" t="s">
        <v>3592</v>
      </c>
      <c r="V449" t="s">
        <v>3593</v>
      </c>
      <c r="AH449" t="s">
        <v>359</v>
      </c>
    </row>
    <row r="450" spans="1:34" ht="15.75">
      <c r="A450" s="29">
        <f aca="true" t="shared" si="7" ref="A450:A513">I450+J450*20*X450</f>
        <v>65</v>
      </c>
      <c r="B450" s="6">
        <v>946</v>
      </c>
      <c r="C450">
        <v>5</v>
      </c>
      <c r="D450" s="2">
        <v>1817</v>
      </c>
      <c r="E450">
        <v>179</v>
      </c>
      <c r="H450" t="s">
        <v>1541</v>
      </c>
      <c r="I450" s="2">
        <v>65</v>
      </c>
      <c r="J450" s="2">
        <v>0</v>
      </c>
      <c r="K450" s="2" t="s">
        <v>884</v>
      </c>
      <c r="L450" s="43" t="s">
        <v>3039</v>
      </c>
      <c r="P450" s="41">
        <v>4</v>
      </c>
      <c r="Q450" s="41">
        <v>9</v>
      </c>
      <c r="R450" s="41">
        <v>89</v>
      </c>
      <c r="AH450" t="s">
        <v>359</v>
      </c>
    </row>
    <row r="451" spans="1:34" ht="15.75">
      <c r="A451" s="29">
        <f t="shared" si="7"/>
        <v>24632</v>
      </c>
      <c r="B451" s="10">
        <v>946</v>
      </c>
      <c r="C451">
        <v>5</v>
      </c>
      <c r="D451" s="8">
        <v>1817</v>
      </c>
      <c r="E451">
        <v>180</v>
      </c>
      <c r="F451" s="9"/>
      <c r="G451" s="9"/>
      <c r="H451" s="9" t="s">
        <v>1541</v>
      </c>
      <c r="I451" s="8">
        <v>24632</v>
      </c>
      <c r="J451" s="8">
        <v>0</v>
      </c>
      <c r="K451" s="2" t="s">
        <v>884</v>
      </c>
      <c r="L451" s="43" t="s">
        <v>885</v>
      </c>
      <c r="M451" s="43" t="s">
        <v>886</v>
      </c>
      <c r="N451" s="43" t="s">
        <v>887</v>
      </c>
      <c r="O451" s="43" t="s">
        <v>888</v>
      </c>
      <c r="P451" s="43">
        <v>12</v>
      </c>
      <c r="Q451" s="43">
        <v>9</v>
      </c>
      <c r="R451" s="43">
        <v>75</v>
      </c>
      <c r="S451" s="11" t="s">
        <v>889</v>
      </c>
      <c r="T451" s="11" t="s">
        <v>890</v>
      </c>
      <c r="U451" s="11"/>
      <c r="V451" s="11" t="s">
        <v>1134</v>
      </c>
      <c r="W451" s="11"/>
      <c r="AH451" t="s">
        <v>359</v>
      </c>
    </row>
    <row r="452" spans="1:34" ht="15.75">
      <c r="A452" s="29">
        <f t="shared" si="7"/>
        <v>2826</v>
      </c>
      <c r="B452" s="6">
        <v>948</v>
      </c>
      <c r="C452">
        <v>5</v>
      </c>
      <c r="D452" s="2">
        <v>1817</v>
      </c>
      <c r="E452">
        <v>181</v>
      </c>
      <c r="H452" t="s">
        <v>1541</v>
      </c>
      <c r="I452" s="2">
        <v>2826</v>
      </c>
      <c r="J452" s="2">
        <v>0</v>
      </c>
      <c r="K452" s="2" t="s">
        <v>884</v>
      </c>
      <c r="L452" s="43" t="s">
        <v>3050</v>
      </c>
      <c r="P452" s="41">
        <v>17</v>
      </c>
      <c r="Q452" s="41">
        <v>9</v>
      </c>
      <c r="R452" s="41">
        <v>36</v>
      </c>
      <c r="AH452" t="s">
        <v>359</v>
      </c>
    </row>
    <row r="453" spans="1:34" ht="15.75">
      <c r="A453" s="29">
        <f t="shared" si="7"/>
        <v>282</v>
      </c>
      <c r="B453" s="6">
        <v>947</v>
      </c>
      <c r="C453">
        <v>5</v>
      </c>
      <c r="D453" s="2">
        <v>1817</v>
      </c>
      <c r="E453">
        <v>182</v>
      </c>
      <c r="H453" t="s">
        <v>1541</v>
      </c>
      <c r="I453" s="2">
        <v>282</v>
      </c>
      <c r="J453" s="2">
        <v>0</v>
      </c>
      <c r="K453" s="2" t="s">
        <v>884</v>
      </c>
      <c r="L453" s="43" t="s">
        <v>3080</v>
      </c>
      <c r="P453" s="41">
        <v>18</v>
      </c>
      <c r="Q453" s="41">
        <v>9</v>
      </c>
      <c r="R453" s="41">
        <v>44</v>
      </c>
      <c r="AH453" t="s">
        <v>359</v>
      </c>
    </row>
    <row r="454" spans="1:34" ht="15.75">
      <c r="A454" s="29">
        <f t="shared" si="7"/>
        <v>704</v>
      </c>
      <c r="B454" s="6">
        <v>948</v>
      </c>
      <c r="C454">
        <v>5</v>
      </c>
      <c r="D454" s="2">
        <v>1817</v>
      </c>
      <c r="E454">
        <v>183</v>
      </c>
      <c r="H454" t="s">
        <v>1541</v>
      </c>
      <c r="I454" s="2">
        <v>704</v>
      </c>
      <c r="J454" s="2">
        <v>0</v>
      </c>
      <c r="K454" s="2" t="s">
        <v>884</v>
      </c>
      <c r="L454" s="43" t="s">
        <v>3451</v>
      </c>
      <c r="P454" s="41">
        <v>25</v>
      </c>
      <c r="Q454" s="41">
        <v>9</v>
      </c>
      <c r="R454" s="41" t="s">
        <v>1199</v>
      </c>
      <c r="AH454" t="s">
        <v>359</v>
      </c>
    </row>
    <row r="455" spans="1:34" ht="15.75">
      <c r="A455" s="29">
        <f t="shared" si="7"/>
        <v>125</v>
      </c>
      <c r="B455" s="6">
        <v>950</v>
      </c>
      <c r="C455">
        <v>5</v>
      </c>
      <c r="D455" s="2">
        <v>1817</v>
      </c>
      <c r="E455">
        <v>184</v>
      </c>
      <c r="H455" t="s">
        <v>1541</v>
      </c>
      <c r="I455" s="2">
        <v>125</v>
      </c>
      <c r="J455" s="2">
        <v>0</v>
      </c>
      <c r="K455" s="2" t="s">
        <v>884</v>
      </c>
      <c r="L455" s="43" t="s">
        <v>3074</v>
      </c>
      <c r="P455" s="41">
        <v>2</v>
      </c>
      <c r="Q455" s="41">
        <v>10</v>
      </c>
      <c r="R455" s="41">
        <v>65</v>
      </c>
      <c r="AH455" t="s">
        <v>359</v>
      </c>
    </row>
    <row r="456" spans="1:34" ht="15.75">
      <c r="A456" s="39">
        <f t="shared" si="7"/>
        <v>1277</v>
      </c>
      <c r="B456" s="6">
        <v>948</v>
      </c>
      <c r="C456">
        <v>5</v>
      </c>
      <c r="D456" s="2">
        <v>1817</v>
      </c>
      <c r="E456">
        <v>185</v>
      </c>
      <c r="H456" t="s">
        <v>1541</v>
      </c>
      <c r="I456" s="2">
        <v>1277</v>
      </c>
      <c r="J456" s="2">
        <v>0</v>
      </c>
      <c r="K456" s="2" t="s">
        <v>884</v>
      </c>
      <c r="L456" s="43" t="s">
        <v>3049</v>
      </c>
      <c r="P456" s="41">
        <v>20</v>
      </c>
      <c r="Q456" s="41">
        <v>10</v>
      </c>
      <c r="R456" s="41">
        <v>23</v>
      </c>
      <c r="AH456" t="s">
        <v>359</v>
      </c>
    </row>
    <row r="457" spans="1:34" ht="15.75">
      <c r="A457" s="29">
        <f t="shared" si="7"/>
        <v>170</v>
      </c>
      <c r="B457" s="6">
        <v>947</v>
      </c>
      <c r="C457">
        <v>5</v>
      </c>
      <c r="D457" s="2">
        <v>1817</v>
      </c>
      <c r="E457">
        <v>186</v>
      </c>
      <c r="H457" t="s">
        <v>1541</v>
      </c>
      <c r="I457" s="2">
        <v>170</v>
      </c>
      <c r="J457" s="2">
        <v>0</v>
      </c>
      <c r="K457" s="2" t="s">
        <v>884</v>
      </c>
      <c r="L457" s="43" t="s">
        <v>3080</v>
      </c>
      <c r="P457" s="41">
        <v>27</v>
      </c>
      <c r="Q457" s="41">
        <v>10</v>
      </c>
      <c r="R457" s="41">
        <v>60</v>
      </c>
      <c r="AH457" t="s">
        <v>359</v>
      </c>
    </row>
    <row r="458" spans="1:34" ht="15.75">
      <c r="A458" s="29">
        <f t="shared" si="7"/>
        <v>217</v>
      </c>
      <c r="B458" s="6">
        <v>951</v>
      </c>
      <c r="C458">
        <v>5</v>
      </c>
      <c r="D458" s="2">
        <v>1817</v>
      </c>
      <c r="E458">
        <v>188</v>
      </c>
      <c r="H458" t="s">
        <v>1541</v>
      </c>
      <c r="I458" s="2">
        <v>217</v>
      </c>
      <c r="J458" s="2">
        <v>0</v>
      </c>
      <c r="K458" s="2" t="s">
        <v>884</v>
      </c>
      <c r="L458" s="43" t="s">
        <v>3114</v>
      </c>
      <c r="P458" s="41">
        <v>1</v>
      </c>
      <c r="Q458" s="41">
        <v>11</v>
      </c>
      <c r="R458" s="41">
        <v>57</v>
      </c>
      <c r="AH458" t="s">
        <v>359</v>
      </c>
    </row>
    <row r="459" spans="1:34" ht="15.75">
      <c r="A459" s="29">
        <f t="shared" si="7"/>
        <v>686</v>
      </c>
      <c r="B459" s="6">
        <v>946</v>
      </c>
      <c r="C459">
        <v>5</v>
      </c>
      <c r="D459" s="2">
        <v>1817</v>
      </c>
      <c r="E459">
        <v>189</v>
      </c>
      <c r="H459" t="s">
        <v>1540</v>
      </c>
      <c r="I459" s="3">
        <f>519+167</f>
        <v>686</v>
      </c>
      <c r="J459" s="2">
        <v>0</v>
      </c>
      <c r="K459" s="2" t="s">
        <v>884</v>
      </c>
      <c r="L459" s="43" t="s">
        <v>3039</v>
      </c>
      <c r="P459" s="41">
        <v>2</v>
      </c>
      <c r="Q459" s="41">
        <v>11</v>
      </c>
      <c r="R459" s="41">
        <v>37</v>
      </c>
      <c r="AH459" t="s">
        <v>359</v>
      </c>
    </row>
    <row r="460" spans="1:34" ht="15.75">
      <c r="A460" s="29">
        <f t="shared" si="7"/>
        <v>94</v>
      </c>
      <c r="B460" s="6">
        <v>951</v>
      </c>
      <c r="C460">
        <v>5</v>
      </c>
      <c r="D460" s="2">
        <v>1817</v>
      </c>
      <c r="E460">
        <v>190</v>
      </c>
      <c r="H460" t="s">
        <v>1541</v>
      </c>
      <c r="I460" s="2">
        <v>94</v>
      </c>
      <c r="J460" s="2">
        <v>0</v>
      </c>
      <c r="K460" s="2" t="s">
        <v>884</v>
      </c>
      <c r="L460" s="43" t="s">
        <v>3105</v>
      </c>
      <c r="P460" s="41">
        <v>7</v>
      </c>
      <c r="Q460" s="41">
        <v>11</v>
      </c>
      <c r="R460" s="41" t="s">
        <v>1199</v>
      </c>
      <c r="AH460" t="s">
        <v>359</v>
      </c>
    </row>
    <row r="461" spans="1:34" ht="15.75">
      <c r="A461" s="29">
        <f t="shared" si="7"/>
        <v>5821</v>
      </c>
      <c r="B461" s="6">
        <v>948</v>
      </c>
      <c r="C461">
        <v>5</v>
      </c>
      <c r="D461" s="2">
        <v>1817</v>
      </c>
      <c r="E461">
        <v>191</v>
      </c>
      <c r="H461" t="s">
        <v>4655</v>
      </c>
      <c r="I461" s="2">
        <f>5113+708</f>
        <v>5821</v>
      </c>
      <c r="J461" s="2">
        <v>0</v>
      </c>
      <c r="K461" s="2" t="s">
        <v>884</v>
      </c>
      <c r="L461" s="43" t="s">
        <v>3042</v>
      </c>
      <c r="P461" s="41">
        <v>11</v>
      </c>
      <c r="Q461" s="41">
        <v>11</v>
      </c>
      <c r="R461" s="41">
        <v>50</v>
      </c>
      <c r="AH461" t="s">
        <v>359</v>
      </c>
    </row>
    <row r="462" spans="1:34" ht="15.75">
      <c r="A462" s="29">
        <f t="shared" si="7"/>
        <v>600</v>
      </c>
      <c r="B462" s="6">
        <v>949</v>
      </c>
      <c r="C462">
        <v>5</v>
      </c>
      <c r="D462" s="2">
        <v>1817</v>
      </c>
      <c r="E462">
        <v>192</v>
      </c>
      <c r="H462" t="s">
        <v>1541</v>
      </c>
      <c r="I462" s="2">
        <v>600</v>
      </c>
      <c r="J462" s="2">
        <v>0</v>
      </c>
      <c r="K462" s="2" t="s">
        <v>884</v>
      </c>
      <c r="L462" s="43" t="s">
        <v>3065</v>
      </c>
      <c r="P462" s="41">
        <v>11</v>
      </c>
      <c r="Q462" s="41">
        <v>11</v>
      </c>
      <c r="R462" s="41">
        <v>36</v>
      </c>
      <c r="AH462" t="s">
        <v>359</v>
      </c>
    </row>
    <row r="463" spans="1:34" ht="15.75">
      <c r="A463" s="29">
        <f t="shared" si="7"/>
        <v>20</v>
      </c>
      <c r="B463" s="6">
        <v>950</v>
      </c>
      <c r="C463">
        <v>5</v>
      </c>
      <c r="D463" s="2">
        <v>1817</v>
      </c>
      <c r="E463">
        <v>193</v>
      </c>
      <c r="H463" t="s">
        <v>1540</v>
      </c>
      <c r="I463" s="2">
        <v>20</v>
      </c>
      <c r="J463" s="2">
        <v>0</v>
      </c>
      <c r="K463" s="2" t="s">
        <v>884</v>
      </c>
      <c r="L463" s="43" t="s">
        <v>5714</v>
      </c>
      <c r="P463" s="41">
        <v>11</v>
      </c>
      <c r="Q463" s="41">
        <v>11</v>
      </c>
      <c r="R463" s="41">
        <v>24</v>
      </c>
      <c r="AH463" t="s">
        <v>359</v>
      </c>
    </row>
    <row r="464" spans="1:34" ht="15.75">
      <c r="A464" s="29">
        <f t="shared" si="7"/>
        <v>501</v>
      </c>
      <c r="B464" s="6">
        <v>947</v>
      </c>
      <c r="C464">
        <v>5</v>
      </c>
      <c r="D464" s="2">
        <v>1817</v>
      </c>
      <c r="E464">
        <v>195</v>
      </c>
      <c r="H464" t="s">
        <v>1540</v>
      </c>
      <c r="I464" s="2">
        <v>501</v>
      </c>
      <c r="J464" s="2">
        <v>0</v>
      </c>
      <c r="K464" s="2" t="s">
        <v>884</v>
      </c>
      <c r="L464" s="43" t="s">
        <v>3076</v>
      </c>
      <c r="P464" s="41">
        <v>1</v>
      </c>
      <c r="Q464" s="41">
        <v>12</v>
      </c>
      <c r="AH464" t="s">
        <v>359</v>
      </c>
    </row>
    <row r="465" spans="1:34" ht="15.75">
      <c r="A465" s="29">
        <f t="shared" si="7"/>
        <v>11387</v>
      </c>
      <c r="B465" s="6">
        <v>946</v>
      </c>
      <c r="C465">
        <v>5</v>
      </c>
      <c r="D465" s="2">
        <v>1817</v>
      </c>
      <c r="E465">
        <v>196</v>
      </c>
      <c r="H465" t="s">
        <v>1541</v>
      </c>
      <c r="I465" s="2">
        <v>11387</v>
      </c>
      <c r="J465" s="2">
        <v>0</v>
      </c>
      <c r="K465" s="2" t="s">
        <v>884</v>
      </c>
      <c r="L465" s="43" t="s">
        <v>3032</v>
      </c>
      <c r="P465" s="41">
        <v>4</v>
      </c>
      <c r="Q465" s="41">
        <v>12</v>
      </c>
      <c r="R465" s="41">
        <v>50</v>
      </c>
      <c r="AH465" t="s">
        <v>359</v>
      </c>
    </row>
    <row r="466" spans="1:34" ht="15.75">
      <c r="A466" s="29">
        <f t="shared" si="7"/>
        <v>92</v>
      </c>
      <c r="B466" s="6">
        <v>948</v>
      </c>
      <c r="C466">
        <v>5</v>
      </c>
      <c r="D466" s="2">
        <v>1817</v>
      </c>
      <c r="E466">
        <v>197</v>
      </c>
      <c r="H466" t="s">
        <v>1540</v>
      </c>
      <c r="I466" s="2">
        <v>92</v>
      </c>
      <c r="J466" s="2">
        <v>0</v>
      </c>
      <c r="K466" s="2" t="s">
        <v>884</v>
      </c>
      <c r="L466" s="43" t="s">
        <v>3048</v>
      </c>
      <c r="P466" s="41">
        <v>9</v>
      </c>
      <c r="Q466" s="41">
        <v>12</v>
      </c>
      <c r="R466" s="41">
        <v>49</v>
      </c>
      <c r="AH466" t="s">
        <v>359</v>
      </c>
    </row>
    <row r="467" spans="1:34" ht="15.75">
      <c r="A467" s="29">
        <f t="shared" si="7"/>
        <v>19695</v>
      </c>
      <c r="B467" s="10">
        <v>951</v>
      </c>
      <c r="C467">
        <v>5</v>
      </c>
      <c r="D467" s="8">
        <v>1817</v>
      </c>
      <c r="E467">
        <v>198</v>
      </c>
      <c r="F467" s="9"/>
      <c r="G467" s="9"/>
      <c r="H467" s="9" t="s">
        <v>1540</v>
      </c>
      <c r="I467" s="8">
        <v>8495</v>
      </c>
      <c r="J467" s="8">
        <v>560</v>
      </c>
      <c r="K467" s="2" t="s">
        <v>884</v>
      </c>
      <c r="L467" s="43" t="s">
        <v>905</v>
      </c>
      <c r="M467" s="41" t="s">
        <v>906</v>
      </c>
      <c r="N467" s="41" t="s">
        <v>907</v>
      </c>
      <c r="O467" s="41" t="s">
        <v>908</v>
      </c>
      <c r="P467" s="41">
        <v>15</v>
      </c>
      <c r="Q467" s="41">
        <v>12</v>
      </c>
      <c r="R467" s="41">
        <v>77</v>
      </c>
      <c r="S467" t="s">
        <v>909</v>
      </c>
      <c r="T467" t="s">
        <v>910</v>
      </c>
      <c r="V467" t="s">
        <v>911</v>
      </c>
      <c r="X467">
        <v>1</v>
      </c>
      <c r="Y467" t="s">
        <v>912</v>
      </c>
      <c r="AH467" t="s">
        <v>359</v>
      </c>
    </row>
    <row r="468" spans="1:34" ht="15.75">
      <c r="A468" s="29">
        <f t="shared" si="7"/>
        <v>116</v>
      </c>
      <c r="B468" s="6">
        <v>946</v>
      </c>
      <c r="C468">
        <v>5</v>
      </c>
      <c r="D468" s="2">
        <v>1817</v>
      </c>
      <c r="E468">
        <v>200</v>
      </c>
      <c r="H468" t="s">
        <v>1540</v>
      </c>
      <c r="I468" s="2">
        <v>116</v>
      </c>
      <c r="J468" s="2">
        <v>0</v>
      </c>
      <c r="K468" s="2" t="s">
        <v>884</v>
      </c>
      <c r="L468" s="43" t="s">
        <v>3031</v>
      </c>
      <c r="P468" s="41">
        <v>24</v>
      </c>
      <c r="Q468" s="41">
        <v>12</v>
      </c>
      <c r="R468" s="41">
        <v>58</v>
      </c>
      <c r="AH468" t="s">
        <v>359</v>
      </c>
    </row>
    <row r="469" spans="1:34" ht="15.75">
      <c r="A469" s="29">
        <f t="shared" si="7"/>
        <v>2533</v>
      </c>
      <c r="B469" s="6">
        <v>951</v>
      </c>
      <c r="C469">
        <v>5</v>
      </c>
      <c r="D469" s="2">
        <v>1817</v>
      </c>
      <c r="E469">
        <v>201</v>
      </c>
      <c r="H469" t="s">
        <v>1541</v>
      </c>
      <c r="I469" s="2">
        <v>2533</v>
      </c>
      <c r="J469" s="2">
        <v>0</v>
      </c>
      <c r="K469" s="2" t="s">
        <v>884</v>
      </c>
      <c r="L469" s="43" t="s">
        <v>3116</v>
      </c>
      <c r="P469" s="41">
        <v>25</v>
      </c>
      <c r="Q469" s="41">
        <v>12</v>
      </c>
      <c r="R469" s="41">
        <v>87</v>
      </c>
      <c r="AH469" t="s">
        <v>359</v>
      </c>
    </row>
    <row r="470" spans="1:34" ht="15.75">
      <c r="A470" s="29">
        <f t="shared" si="7"/>
        <v>2335</v>
      </c>
      <c r="B470" s="6">
        <v>951</v>
      </c>
      <c r="C470">
        <v>5</v>
      </c>
      <c r="D470" s="2">
        <v>1817</v>
      </c>
      <c r="E470">
        <v>202</v>
      </c>
      <c r="H470" t="s">
        <v>1541</v>
      </c>
      <c r="I470" s="2">
        <v>2335</v>
      </c>
      <c r="J470" s="2">
        <v>0</v>
      </c>
      <c r="K470" s="2" t="s">
        <v>884</v>
      </c>
      <c r="L470" s="43" t="s">
        <v>3116</v>
      </c>
      <c r="P470" s="41">
        <v>26</v>
      </c>
      <c r="Q470" s="41">
        <v>12</v>
      </c>
      <c r="R470" s="41">
        <v>45</v>
      </c>
      <c r="AH470" t="s">
        <v>359</v>
      </c>
    </row>
    <row r="471" spans="1:34" ht="15.75">
      <c r="A471" s="29">
        <f t="shared" si="7"/>
        <v>196542</v>
      </c>
      <c r="B471" s="6">
        <v>953</v>
      </c>
      <c r="C471">
        <v>5</v>
      </c>
      <c r="D471" s="2">
        <v>1817</v>
      </c>
      <c r="E471">
        <v>203</v>
      </c>
      <c r="H471" t="s">
        <v>1540</v>
      </c>
      <c r="I471" s="2">
        <f>141296+55246</f>
        <v>196542</v>
      </c>
      <c r="J471" s="2">
        <v>0</v>
      </c>
      <c r="K471" s="2" t="s">
        <v>864</v>
      </c>
      <c r="L471" s="43" t="s">
        <v>4298</v>
      </c>
      <c r="M471" s="41" t="s">
        <v>3544</v>
      </c>
      <c r="N471" s="41" t="s">
        <v>3545</v>
      </c>
      <c r="O471" s="41" t="s">
        <v>3546</v>
      </c>
      <c r="P471" s="41">
        <v>6</v>
      </c>
      <c r="Q471" s="41">
        <v>1</v>
      </c>
      <c r="R471" s="41">
        <v>32</v>
      </c>
      <c r="S471" t="s">
        <v>3547</v>
      </c>
      <c r="T471" t="s">
        <v>3548</v>
      </c>
      <c r="V471" t="s">
        <v>3549</v>
      </c>
      <c r="AH471" t="s">
        <v>359</v>
      </c>
    </row>
    <row r="472" spans="1:34" ht="15.75">
      <c r="A472" s="29">
        <f t="shared" si="7"/>
        <v>2120</v>
      </c>
      <c r="B472" s="6">
        <v>952</v>
      </c>
      <c r="C472">
        <v>5</v>
      </c>
      <c r="D472" s="2">
        <v>1817</v>
      </c>
      <c r="E472">
        <v>204</v>
      </c>
      <c r="H472" t="s">
        <v>1540</v>
      </c>
      <c r="I472" s="2">
        <v>2120</v>
      </c>
      <c r="J472" s="2">
        <v>0</v>
      </c>
      <c r="K472" s="2" t="s">
        <v>864</v>
      </c>
      <c r="L472" s="43" t="s">
        <v>3122</v>
      </c>
      <c r="P472" s="41">
        <v>8</v>
      </c>
      <c r="Q472" s="41">
        <v>1</v>
      </c>
      <c r="R472" s="41">
        <v>43</v>
      </c>
      <c r="AH472" t="s">
        <v>359</v>
      </c>
    </row>
    <row r="473" spans="1:34" ht="15.75">
      <c r="A473" s="29">
        <f t="shared" si="7"/>
        <v>1518</v>
      </c>
      <c r="B473" s="6">
        <v>956</v>
      </c>
      <c r="C473">
        <v>5</v>
      </c>
      <c r="D473" s="2">
        <v>1817</v>
      </c>
      <c r="E473">
        <v>206</v>
      </c>
      <c r="H473" t="s">
        <v>1540</v>
      </c>
      <c r="I473" s="2">
        <v>1518</v>
      </c>
      <c r="J473" s="2">
        <v>0</v>
      </c>
      <c r="K473" s="2" t="s">
        <v>864</v>
      </c>
      <c r="L473" s="43" t="s">
        <v>4683</v>
      </c>
      <c r="P473" s="41">
        <v>8</v>
      </c>
      <c r="Q473" s="41">
        <v>1</v>
      </c>
      <c r="R473" s="41" t="s">
        <v>1199</v>
      </c>
      <c r="T473" t="s">
        <v>4699</v>
      </c>
      <c r="AH473" t="s">
        <v>359</v>
      </c>
    </row>
    <row r="474" spans="1:34" ht="15.75">
      <c r="A474" s="29">
        <f t="shared" si="7"/>
        <v>281</v>
      </c>
      <c r="B474" s="6">
        <v>952</v>
      </c>
      <c r="C474">
        <v>5</v>
      </c>
      <c r="D474" s="2">
        <v>1817</v>
      </c>
      <c r="E474">
        <v>207</v>
      </c>
      <c r="H474" t="s">
        <v>1540</v>
      </c>
      <c r="I474" s="2">
        <v>281</v>
      </c>
      <c r="J474" s="2">
        <v>0</v>
      </c>
      <c r="K474" s="2" t="s">
        <v>864</v>
      </c>
      <c r="L474" s="43" t="s">
        <v>3120</v>
      </c>
      <c r="P474" s="41">
        <v>9</v>
      </c>
      <c r="Q474" s="41">
        <v>1</v>
      </c>
      <c r="R474" s="41">
        <v>64</v>
      </c>
      <c r="AH474" t="s">
        <v>359</v>
      </c>
    </row>
    <row r="475" spans="1:34" ht="15.75">
      <c r="A475" s="29">
        <f t="shared" si="7"/>
        <v>229</v>
      </c>
      <c r="B475" s="6">
        <v>952</v>
      </c>
      <c r="C475">
        <v>5</v>
      </c>
      <c r="D475" s="2">
        <v>1817</v>
      </c>
      <c r="E475">
        <v>208</v>
      </c>
      <c r="H475" t="s">
        <v>1540</v>
      </c>
      <c r="I475" s="2">
        <v>229</v>
      </c>
      <c r="J475" s="2">
        <v>0</v>
      </c>
      <c r="K475" s="2" t="s">
        <v>864</v>
      </c>
      <c r="L475" s="43" t="s">
        <v>3122</v>
      </c>
      <c r="P475" s="41">
        <v>10</v>
      </c>
      <c r="Q475" s="41">
        <v>1</v>
      </c>
      <c r="R475" s="41" t="s">
        <v>1199</v>
      </c>
      <c r="AH475" t="s">
        <v>359</v>
      </c>
    </row>
    <row r="476" spans="1:34" ht="15.75">
      <c r="A476" s="29">
        <f t="shared" si="7"/>
        <v>4002</v>
      </c>
      <c r="B476" s="6">
        <v>954</v>
      </c>
      <c r="C476">
        <v>5</v>
      </c>
      <c r="D476" s="2">
        <v>1817</v>
      </c>
      <c r="E476">
        <v>209</v>
      </c>
      <c r="H476" t="s">
        <v>1541</v>
      </c>
      <c r="I476" s="2">
        <v>4002</v>
      </c>
      <c r="J476" s="2">
        <v>0</v>
      </c>
      <c r="K476" s="2" t="s">
        <v>864</v>
      </c>
      <c r="L476" s="43" t="s">
        <v>4676</v>
      </c>
      <c r="P476" s="41">
        <v>14</v>
      </c>
      <c r="Q476" s="41">
        <v>1</v>
      </c>
      <c r="R476" s="41">
        <v>83</v>
      </c>
      <c r="AH476" t="s">
        <v>359</v>
      </c>
    </row>
    <row r="477" spans="1:34" ht="15.75">
      <c r="A477" s="29">
        <f t="shared" si="7"/>
        <v>20429</v>
      </c>
      <c r="B477" s="6">
        <v>952</v>
      </c>
      <c r="C477">
        <v>5</v>
      </c>
      <c r="D477" s="2">
        <v>1817</v>
      </c>
      <c r="E477">
        <v>210</v>
      </c>
      <c r="H477" t="s">
        <v>1540</v>
      </c>
      <c r="I477" s="2">
        <v>8929</v>
      </c>
      <c r="J477" s="2">
        <f>850+300</f>
        <v>1150</v>
      </c>
      <c r="K477" s="2" t="s">
        <v>864</v>
      </c>
      <c r="L477" s="43" t="s">
        <v>3537</v>
      </c>
      <c r="M477" s="41" t="s">
        <v>3541</v>
      </c>
      <c r="N477" s="41" t="s">
        <v>1555</v>
      </c>
      <c r="O477" s="41" t="s">
        <v>3542</v>
      </c>
      <c r="P477" s="41">
        <v>15</v>
      </c>
      <c r="Q477" s="41">
        <v>1</v>
      </c>
      <c r="R477" s="41">
        <v>48</v>
      </c>
      <c r="S477" t="s">
        <v>3343</v>
      </c>
      <c r="T477" t="s">
        <v>3543</v>
      </c>
      <c r="V477" s="4" t="s">
        <v>3538</v>
      </c>
      <c r="W477" s="4"/>
      <c r="X477">
        <v>0.5</v>
      </c>
      <c r="Y477" t="s">
        <v>3540</v>
      </c>
      <c r="AH477" t="s">
        <v>359</v>
      </c>
    </row>
    <row r="478" spans="1:34" ht="15.75">
      <c r="A478" s="29">
        <f t="shared" si="7"/>
        <v>1502</v>
      </c>
      <c r="B478" s="6">
        <v>952</v>
      </c>
      <c r="C478">
        <v>5</v>
      </c>
      <c r="D478" s="2">
        <v>1817</v>
      </c>
      <c r="E478">
        <v>211</v>
      </c>
      <c r="H478" t="s">
        <v>1541</v>
      </c>
      <c r="I478" s="2">
        <v>1502</v>
      </c>
      <c r="J478" s="2">
        <v>0</v>
      </c>
      <c r="K478" s="2" t="s">
        <v>864</v>
      </c>
      <c r="L478" s="43" t="s">
        <v>3122</v>
      </c>
      <c r="P478" s="41">
        <v>15</v>
      </c>
      <c r="Q478" s="41">
        <v>1</v>
      </c>
      <c r="R478" s="41">
        <v>35</v>
      </c>
      <c r="AH478" t="s">
        <v>359</v>
      </c>
    </row>
    <row r="479" spans="1:34" ht="15.75">
      <c r="A479" s="29">
        <f t="shared" si="7"/>
        <v>7308</v>
      </c>
      <c r="B479" s="6">
        <v>954</v>
      </c>
      <c r="C479">
        <v>5</v>
      </c>
      <c r="D479" s="2">
        <v>1817</v>
      </c>
      <c r="E479">
        <v>212</v>
      </c>
      <c r="H479" t="s">
        <v>1541</v>
      </c>
      <c r="I479" s="2">
        <v>7308</v>
      </c>
      <c r="J479" s="2">
        <v>0</v>
      </c>
      <c r="K479" s="2" t="s">
        <v>864</v>
      </c>
      <c r="L479" s="43" t="s">
        <v>4676</v>
      </c>
      <c r="P479" s="41">
        <v>18</v>
      </c>
      <c r="Q479" s="41">
        <v>1</v>
      </c>
      <c r="R479" s="41">
        <v>19</v>
      </c>
      <c r="AH479" t="s">
        <v>359</v>
      </c>
    </row>
    <row r="480" spans="1:34" ht="15.75">
      <c r="A480" s="29">
        <f t="shared" si="7"/>
        <v>75883</v>
      </c>
      <c r="B480" s="6">
        <v>953</v>
      </c>
      <c r="C480">
        <v>5</v>
      </c>
      <c r="D480" s="2">
        <v>1817</v>
      </c>
      <c r="E480">
        <v>213</v>
      </c>
      <c r="H480" t="s">
        <v>1541</v>
      </c>
      <c r="I480" s="2">
        <v>12683</v>
      </c>
      <c r="J480" s="2">
        <v>3160</v>
      </c>
      <c r="K480" s="2" t="s">
        <v>864</v>
      </c>
      <c r="L480" s="43" t="s">
        <v>3560</v>
      </c>
      <c r="M480" s="41" t="s">
        <v>3561</v>
      </c>
      <c r="N480" s="41" t="s">
        <v>1555</v>
      </c>
      <c r="O480" s="41" t="s">
        <v>3562</v>
      </c>
      <c r="P480" s="41">
        <v>19</v>
      </c>
      <c r="Q480" s="41">
        <v>1</v>
      </c>
      <c r="R480" s="41">
        <v>59</v>
      </c>
      <c r="S480" t="s">
        <v>3343</v>
      </c>
      <c r="T480" t="s">
        <v>3563</v>
      </c>
      <c r="V480" t="s">
        <v>3564</v>
      </c>
      <c r="X480">
        <v>1</v>
      </c>
      <c r="Y480" t="s">
        <v>3565</v>
      </c>
      <c r="AH480" t="s">
        <v>359</v>
      </c>
    </row>
    <row r="481" spans="1:34" ht="15.75">
      <c r="A481" s="29">
        <f t="shared" si="7"/>
        <v>507</v>
      </c>
      <c r="B481" s="6">
        <v>954</v>
      </c>
      <c r="C481">
        <v>5</v>
      </c>
      <c r="D481" s="2">
        <v>1817</v>
      </c>
      <c r="E481">
        <v>214</v>
      </c>
      <c r="H481" t="s">
        <v>1541</v>
      </c>
      <c r="I481" s="2">
        <v>507</v>
      </c>
      <c r="J481" s="2">
        <v>0</v>
      </c>
      <c r="K481" s="2" t="s">
        <v>864</v>
      </c>
      <c r="L481" s="43" t="s">
        <v>4671</v>
      </c>
      <c r="P481" s="41">
        <v>24</v>
      </c>
      <c r="Q481" s="41">
        <v>1</v>
      </c>
      <c r="R481" s="41">
        <v>55</v>
      </c>
      <c r="AH481" t="s">
        <v>359</v>
      </c>
    </row>
    <row r="482" spans="1:34" ht="15.75">
      <c r="A482" s="29">
        <f t="shared" si="7"/>
        <v>347</v>
      </c>
      <c r="B482" s="6">
        <v>958</v>
      </c>
      <c r="C482">
        <v>5</v>
      </c>
      <c r="D482" s="2">
        <v>1817</v>
      </c>
      <c r="E482">
        <v>216</v>
      </c>
      <c r="H482" t="s">
        <v>1540</v>
      </c>
      <c r="I482" s="2">
        <v>347</v>
      </c>
      <c r="J482" s="2">
        <v>0</v>
      </c>
      <c r="K482" s="2" t="s">
        <v>864</v>
      </c>
      <c r="L482" s="43" t="s">
        <v>5868</v>
      </c>
      <c r="P482" s="41">
        <v>28</v>
      </c>
      <c r="Q482" s="41">
        <v>1</v>
      </c>
      <c r="R482" s="41" t="s">
        <v>1199</v>
      </c>
      <c r="S482" t="s">
        <v>3440</v>
      </c>
      <c r="AH482" t="s">
        <v>359</v>
      </c>
    </row>
    <row r="483" spans="1:34" ht="15.75">
      <c r="A483" s="29">
        <f t="shared" si="7"/>
        <v>1031</v>
      </c>
      <c r="B483" s="6">
        <v>957</v>
      </c>
      <c r="C483">
        <v>5</v>
      </c>
      <c r="D483" s="2">
        <v>1817</v>
      </c>
      <c r="E483">
        <v>217</v>
      </c>
      <c r="H483" t="s">
        <v>1541</v>
      </c>
      <c r="I483" s="2">
        <v>1031</v>
      </c>
      <c r="J483" s="2">
        <v>0</v>
      </c>
      <c r="K483" s="2" t="s">
        <v>864</v>
      </c>
      <c r="L483" s="43" t="s">
        <v>4692</v>
      </c>
      <c r="P483" s="41">
        <v>31</v>
      </c>
      <c r="Q483" s="41">
        <v>1</v>
      </c>
      <c r="R483" s="41">
        <v>39</v>
      </c>
      <c r="AH483" t="s">
        <v>359</v>
      </c>
    </row>
    <row r="484" spans="1:34" ht="15.75">
      <c r="A484" s="29">
        <f t="shared" si="7"/>
        <v>920</v>
      </c>
      <c r="B484" s="6">
        <v>956</v>
      </c>
      <c r="C484">
        <v>5</v>
      </c>
      <c r="D484" s="2">
        <v>1817</v>
      </c>
      <c r="E484">
        <v>218</v>
      </c>
      <c r="H484" t="s">
        <v>1540</v>
      </c>
      <c r="I484" s="2">
        <v>920</v>
      </c>
      <c r="J484" s="2">
        <v>0</v>
      </c>
      <c r="K484" s="2" t="s">
        <v>864</v>
      </c>
      <c r="L484" s="43" t="s">
        <v>4693</v>
      </c>
      <c r="P484" s="41">
        <v>1</v>
      </c>
      <c r="Q484" s="41">
        <v>2</v>
      </c>
      <c r="R484" s="41">
        <v>78</v>
      </c>
      <c r="S484" t="s">
        <v>1266</v>
      </c>
      <c r="AH484" t="s">
        <v>359</v>
      </c>
    </row>
    <row r="485" spans="1:34" ht="15.75">
      <c r="A485" s="29">
        <f t="shared" si="7"/>
        <v>2668</v>
      </c>
      <c r="B485" s="6">
        <v>952</v>
      </c>
      <c r="C485">
        <v>5</v>
      </c>
      <c r="D485" s="2">
        <v>1817</v>
      </c>
      <c r="E485">
        <v>220</v>
      </c>
      <c r="H485" t="s">
        <v>1541</v>
      </c>
      <c r="I485" s="2">
        <v>2668</v>
      </c>
      <c r="J485" s="2">
        <v>0</v>
      </c>
      <c r="K485" s="2" t="s">
        <v>864</v>
      </c>
      <c r="L485" s="43" t="s">
        <v>3120</v>
      </c>
      <c r="P485" s="41">
        <v>22</v>
      </c>
      <c r="Q485" s="41">
        <v>2</v>
      </c>
      <c r="R485" s="41">
        <v>72</v>
      </c>
      <c r="AH485" t="s">
        <v>359</v>
      </c>
    </row>
    <row r="486" spans="1:34" ht="15.75">
      <c r="A486" s="29">
        <f t="shared" si="7"/>
        <v>127</v>
      </c>
      <c r="B486" s="6">
        <v>957</v>
      </c>
      <c r="C486">
        <v>5</v>
      </c>
      <c r="D486" s="2">
        <v>1817</v>
      </c>
      <c r="E486">
        <v>221</v>
      </c>
      <c r="H486" t="s">
        <v>1540</v>
      </c>
      <c r="I486" s="2">
        <v>127</v>
      </c>
      <c r="J486" s="2">
        <v>0</v>
      </c>
      <c r="K486" s="2" t="s">
        <v>864</v>
      </c>
      <c r="L486" s="43" t="s">
        <v>4689</v>
      </c>
      <c r="P486" s="41">
        <v>1</v>
      </c>
      <c r="Q486" s="41">
        <v>3</v>
      </c>
      <c r="R486" s="41">
        <v>67</v>
      </c>
      <c r="AH486" t="s">
        <v>359</v>
      </c>
    </row>
    <row r="487" spans="1:34" ht="15.75">
      <c r="A487" s="29">
        <f t="shared" si="7"/>
        <v>941</v>
      </c>
      <c r="B487" s="6">
        <v>956</v>
      </c>
      <c r="C487">
        <v>5</v>
      </c>
      <c r="D487" s="2">
        <v>1817</v>
      </c>
      <c r="E487">
        <v>222</v>
      </c>
      <c r="H487" t="s">
        <v>1540</v>
      </c>
      <c r="I487" s="2">
        <v>941</v>
      </c>
      <c r="J487" s="2">
        <v>0</v>
      </c>
      <c r="K487" s="2" t="s">
        <v>864</v>
      </c>
      <c r="L487" s="43" t="s">
        <v>4697</v>
      </c>
      <c r="P487" s="41">
        <v>9</v>
      </c>
      <c r="Q487" s="41">
        <v>3</v>
      </c>
      <c r="R487" s="41">
        <v>78</v>
      </c>
      <c r="S487" t="s">
        <v>1266</v>
      </c>
      <c r="AH487" t="s">
        <v>359</v>
      </c>
    </row>
    <row r="488" spans="1:34" ht="15.75">
      <c r="A488" s="29">
        <f t="shared" si="7"/>
        <v>469</v>
      </c>
      <c r="B488" s="6">
        <v>959</v>
      </c>
      <c r="C488">
        <v>5</v>
      </c>
      <c r="D488" s="2">
        <v>1817</v>
      </c>
      <c r="E488">
        <v>223</v>
      </c>
      <c r="H488" t="s">
        <v>1541</v>
      </c>
      <c r="I488" s="2">
        <v>469</v>
      </c>
      <c r="J488" s="2">
        <v>0</v>
      </c>
      <c r="K488" s="2" t="s">
        <v>864</v>
      </c>
      <c r="L488" s="43" t="s">
        <v>5878</v>
      </c>
      <c r="P488" s="41">
        <v>11</v>
      </c>
      <c r="Q488" s="41">
        <v>3</v>
      </c>
      <c r="R488" s="41">
        <v>50</v>
      </c>
      <c r="S488" t="s">
        <v>3343</v>
      </c>
      <c r="AH488" t="s">
        <v>359</v>
      </c>
    </row>
    <row r="489" spans="1:34" ht="15.75">
      <c r="A489" s="29">
        <f t="shared" si="7"/>
        <v>74229</v>
      </c>
      <c r="B489" s="6">
        <v>956</v>
      </c>
      <c r="C489">
        <v>5</v>
      </c>
      <c r="D489" s="2">
        <v>1817</v>
      </c>
      <c r="E489">
        <v>224</v>
      </c>
      <c r="H489" t="s">
        <v>1540</v>
      </c>
      <c r="I489" s="2">
        <v>14229</v>
      </c>
      <c r="J489" s="2">
        <v>3000</v>
      </c>
      <c r="K489" s="2" t="s">
        <v>864</v>
      </c>
      <c r="L489" s="43" t="s">
        <v>1144</v>
      </c>
      <c r="M489" s="41" t="s">
        <v>1145</v>
      </c>
      <c r="N489" s="41" t="s">
        <v>1146</v>
      </c>
      <c r="O489" s="41" t="s">
        <v>1147</v>
      </c>
      <c r="P489" s="41">
        <v>16</v>
      </c>
      <c r="Q489" s="41">
        <v>3</v>
      </c>
      <c r="R489" s="41">
        <v>75</v>
      </c>
      <c r="S489" t="s">
        <v>3343</v>
      </c>
      <c r="T489" t="s">
        <v>1148</v>
      </c>
      <c r="V489" t="s">
        <v>1149</v>
      </c>
      <c r="X489">
        <v>1</v>
      </c>
      <c r="Y489" t="s">
        <v>1128</v>
      </c>
      <c r="AH489" t="s">
        <v>359</v>
      </c>
    </row>
    <row r="490" spans="1:34" ht="15.75">
      <c r="A490" s="29">
        <f t="shared" si="7"/>
        <v>1088</v>
      </c>
      <c r="B490" s="6">
        <v>955</v>
      </c>
      <c r="C490">
        <v>5</v>
      </c>
      <c r="D490" s="2">
        <v>1817</v>
      </c>
      <c r="E490">
        <v>225</v>
      </c>
      <c r="H490" t="s">
        <v>1541</v>
      </c>
      <c r="I490" s="2">
        <v>1088</v>
      </c>
      <c r="J490" s="2">
        <v>0</v>
      </c>
      <c r="K490" s="2" t="s">
        <v>864</v>
      </c>
      <c r="L490" s="43" t="s">
        <v>5866</v>
      </c>
      <c r="P490" s="41">
        <v>18</v>
      </c>
      <c r="Q490" s="41">
        <v>3</v>
      </c>
      <c r="R490" s="41">
        <v>67</v>
      </c>
      <c r="S490" t="s">
        <v>3440</v>
      </c>
      <c r="AH490" t="s">
        <v>359</v>
      </c>
    </row>
    <row r="491" spans="1:34" ht="15.75">
      <c r="A491" s="29">
        <f t="shared" si="7"/>
        <v>177</v>
      </c>
      <c r="B491" s="6">
        <v>953</v>
      </c>
      <c r="C491">
        <v>5</v>
      </c>
      <c r="D491" s="2">
        <v>1817</v>
      </c>
      <c r="E491">
        <v>226</v>
      </c>
      <c r="H491" t="s">
        <v>1540</v>
      </c>
      <c r="I491" s="2">
        <v>177</v>
      </c>
      <c r="J491" s="2">
        <v>0</v>
      </c>
      <c r="K491" s="2" t="s">
        <v>864</v>
      </c>
      <c r="L491" s="43" t="s">
        <v>4680</v>
      </c>
      <c r="P491" s="41">
        <v>22</v>
      </c>
      <c r="Q491" s="41">
        <v>3</v>
      </c>
      <c r="R491" s="41">
        <v>74</v>
      </c>
      <c r="AH491" t="s">
        <v>359</v>
      </c>
    </row>
    <row r="492" spans="1:34" ht="15.75">
      <c r="A492" s="29">
        <f t="shared" si="7"/>
        <v>500</v>
      </c>
      <c r="B492" s="6">
        <v>959</v>
      </c>
      <c r="C492">
        <v>5</v>
      </c>
      <c r="D492" s="2">
        <v>1817</v>
      </c>
      <c r="E492">
        <v>227</v>
      </c>
      <c r="H492" t="s">
        <v>1540</v>
      </c>
      <c r="I492" s="2">
        <v>500</v>
      </c>
      <c r="J492" s="2">
        <v>0</v>
      </c>
      <c r="K492" s="2" t="s">
        <v>864</v>
      </c>
      <c r="L492" s="43" t="s">
        <v>5873</v>
      </c>
      <c r="P492" s="41">
        <v>22</v>
      </c>
      <c r="Q492" s="41">
        <v>3</v>
      </c>
      <c r="R492" s="41">
        <v>75</v>
      </c>
      <c r="S492" t="s">
        <v>4669</v>
      </c>
      <c r="AH492" t="s">
        <v>359</v>
      </c>
    </row>
    <row r="493" spans="1:34" ht="15.75">
      <c r="A493" s="29">
        <f t="shared" si="7"/>
        <v>61016</v>
      </c>
      <c r="B493" s="6">
        <v>952</v>
      </c>
      <c r="C493">
        <v>5</v>
      </c>
      <c r="D493" s="2">
        <v>1817</v>
      </c>
      <c r="E493">
        <v>229</v>
      </c>
      <c r="H493" t="s">
        <v>1541</v>
      </c>
      <c r="I493" s="2">
        <v>61016</v>
      </c>
      <c r="J493" s="2">
        <v>0</v>
      </c>
      <c r="K493" s="2" t="s">
        <v>864</v>
      </c>
      <c r="L493" s="43" t="s">
        <v>3524</v>
      </c>
      <c r="M493" s="41" t="s">
        <v>2772</v>
      </c>
      <c r="N493" s="41" t="s">
        <v>1551</v>
      </c>
      <c r="O493" s="41" t="s">
        <v>3525</v>
      </c>
      <c r="P493" s="41">
        <v>28</v>
      </c>
      <c r="Q493" s="41">
        <v>3</v>
      </c>
      <c r="R493" s="41">
        <v>82</v>
      </c>
      <c r="S493" t="s">
        <v>3526</v>
      </c>
      <c r="T493" t="s">
        <v>3531</v>
      </c>
      <c r="V493" t="s">
        <v>1247</v>
      </c>
      <c r="AH493" t="s">
        <v>359</v>
      </c>
    </row>
    <row r="494" spans="1:34" ht="15.75">
      <c r="A494" s="29">
        <f t="shared" si="7"/>
        <v>252</v>
      </c>
      <c r="B494" s="6">
        <v>955</v>
      </c>
      <c r="C494">
        <v>5</v>
      </c>
      <c r="D494" s="2">
        <v>1817</v>
      </c>
      <c r="E494">
        <v>230</v>
      </c>
      <c r="H494" t="s">
        <v>1540</v>
      </c>
      <c r="I494" s="2">
        <v>252</v>
      </c>
      <c r="J494" s="2">
        <v>0</v>
      </c>
      <c r="K494" s="2" t="s">
        <v>864</v>
      </c>
      <c r="L494" s="43" t="s">
        <v>5859</v>
      </c>
      <c r="P494" s="41">
        <v>28</v>
      </c>
      <c r="Q494" s="41">
        <v>3</v>
      </c>
      <c r="R494" s="41" t="s">
        <v>1199</v>
      </c>
      <c r="S494" t="s">
        <v>4669</v>
      </c>
      <c r="T494" t="s">
        <v>5860</v>
      </c>
      <c r="AH494" t="s">
        <v>359</v>
      </c>
    </row>
    <row r="495" spans="1:34" ht="15.75">
      <c r="A495" s="29">
        <f t="shared" si="7"/>
        <v>312</v>
      </c>
      <c r="B495" s="6">
        <v>954</v>
      </c>
      <c r="C495">
        <v>5</v>
      </c>
      <c r="D495" s="2">
        <v>1817</v>
      </c>
      <c r="E495">
        <v>231</v>
      </c>
      <c r="H495" t="s">
        <v>1540</v>
      </c>
      <c r="I495" s="2">
        <v>312</v>
      </c>
      <c r="J495" s="2">
        <v>0</v>
      </c>
      <c r="K495" s="2" t="s">
        <v>864</v>
      </c>
      <c r="L495" s="43" t="s">
        <v>4670</v>
      </c>
      <c r="P495" s="41">
        <v>8</v>
      </c>
      <c r="Q495" s="41">
        <v>4</v>
      </c>
      <c r="R495" s="41">
        <v>73</v>
      </c>
      <c r="AH495" t="s">
        <v>359</v>
      </c>
    </row>
    <row r="496" spans="1:34" ht="15.75">
      <c r="A496" s="29">
        <f t="shared" si="7"/>
        <v>14402</v>
      </c>
      <c r="B496" s="6">
        <v>954</v>
      </c>
      <c r="C496">
        <v>5</v>
      </c>
      <c r="D496" s="2">
        <v>1817</v>
      </c>
      <c r="E496">
        <v>232</v>
      </c>
      <c r="H496" t="s">
        <v>1541</v>
      </c>
      <c r="I496" s="2">
        <v>14402</v>
      </c>
      <c r="J496" s="2">
        <v>0</v>
      </c>
      <c r="K496" s="2" t="s">
        <v>864</v>
      </c>
      <c r="L496" t="s">
        <v>1793</v>
      </c>
      <c r="P496">
        <v>10</v>
      </c>
      <c r="Q496">
        <v>4</v>
      </c>
      <c r="R496">
        <v>81</v>
      </c>
      <c r="AH496" t="s">
        <v>359</v>
      </c>
    </row>
    <row r="497" spans="1:34" ht="15.75">
      <c r="A497" s="29">
        <f t="shared" si="7"/>
        <v>88</v>
      </c>
      <c r="B497" s="6">
        <v>956</v>
      </c>
      <c r="C497">
        <v>5</v>
      </c>
      <c r="D497" s="2">
        <v>1817</v>
      </c>
      <c r="E497">
        <v>233</v>
      </c>
      <c r="H497" t="s">
        <v>1540</v>
      </c>
      <c r="I497" s="2">
        <v>88</v>
      </c>
      <c r="J497" s="2">
        <v>0</v>
      </c>
      <c r="K497" s="2" t="s">
        <v>864</v>
      </c>
      <c r="L497" s="43" t="s">
        <v>4695</v>
      </c>
      <c r="P497" s="41">
        <v>10</v>
      </c>
      <c r="Q497" s="41">
        <v>4</v>
      </c>
      <c r="R497" s="41">
        <v>54</v>
      </c>
      <c r="S497" t="s">
        <v>4669</v>
      </c>
      <c r="AH497" t="s">
        <v>359</v>
      </c>
    </row>
    <row r="498" spans="1:34" ht="15.75">
      <c r="A498" s="29">
        <f t="shared" si="7"/>
        <v>5620</v>
      </c>
      <c r="B498" s="6">
        <v>955</v>
      </c>
      <c r="C498">
        <v>5</v>
      </c>
      <c r="D498" s="2">
        <v>1817</v>
      </c>
      <c r="E498">
        <v>234</v>
      </c>
      <c r="H498" t="s">
        <v>1540</v>
      </c>
      <c r="I498" s="2">
        <v>5620</v>
      </c>
      <c r="J498" s="2">
        <v>0</v>
      </c>
      <c r="K498" s="2" t="s">
        <v>864</v>
      </c>
      <c r="L498" s="43" t="s">
        <v>4702</v>
      </c>
      <c r="P498" s="41">
        <v>12</v>
      </c>
      <c r="Q498" s="41">
        <v>4</v>
      </c>
      <c r="R498" s="41">
        <v>27</v>
      </c>
      <c r="S498" t="s">
        <v>4669</v>
      </c>
      <c r="AH498" t="s">
        <v>359</v>
      </c>
    </row>
    <row r="499" spans="1:34" ht="15.75">
      <c r="A499" s="29">
        <f t="shared" si="7"/>
        <v>126</v>
      </c>
      <c r="B499" s="6">
        <v>956</v>
      </c>
      <c r="C499">
        <v>5</v>
      </c>
      <c r="D499" s="2">
        <v>1817</v>
      </c>
      <c r="E499">
        <v>235</v>
      </c>
      <c r="H499" t="s">
        <v>1540</v>
      </c>
      <c r="I499" s="2">
        <v>126</v>
      </c>
      <c r="J499" s="2">
        <v>0</v>
      </c>
      <c r="K499" s="2" t="s">
        <v>864</v>
      </c>
      <c r="L499" s="43" t="s">
        <v>4683</v>
      </c>
      <c r="P499" s="41">
        <v>20</v>
      </c>
      <c r="Q499" s="41">
        <v>4</v>
      </c>
      <c r="R499" s="41">
        <v>65</v>
      </c>
      <c r="S499" t="s">
        <v>4669</v>
      </c>
      <c r="AH499" t="s">
        <v>359</v>
      </c>
    </row>
    <row r="500" spans="1:34" ht="15.75">
      <c r="A500" s="29">
        <f t="shared" si="7"/>
        <v>394</v>
      </c>
      <c r="B500" s="6">
        <v>956</v>
      </c>
      <c r="C500">
        <v>5</v>
      </c>
      <c r="D500" s="2">
        <v>1817</v>
      </c>
      <c r="E500">
        <v>236</v>
      </c>
      <c r="H500" t="s">
        <v>1541</v>
      </c>
      <c r="I500" s="2">
        <v>394</v>
      </c>
      <c r="J500" s="2">
        <v>0</v>
      </c>
      <c r="K500" s="2" t="s">
        <v>864</v>
      </c>
      <c r="L500" s="43" t="s">
        <v>4693</v>
      </c>
      <c r="P500" s="41">
        <v>24</v>
      </c>
      <c r="Q500" s="41">
        <v>4</v>
      </c>
      <c r="R500" s="41">
        <v>72</v>
      </c>
      <c r="S500" t="s">
        <v>3343</v>
      </c>
      <c r="AH500" t="s">
        <v>359</v>
      </c>
    </row>
    <row r="501" spans="1:34" ht="15.75">
      <c r="A501" s="29">
        <f t="shared" si="7"/>
        <v>42393</v>
      </c>
      <c r="B501" s="6">
        <v>956</v>
      </c>
      <c r="C501">
        <v>5</v>
      </c>
      <c r="D501" s="2">
        <v>1817</v>
      </c>
      <c r="E501">
        <v>237</v>
      </c>
      <c r="H501" t="s">
        <v>1541</v>
      </c>
      <c r="I501" s="2">
        <v>30213</v>
      </c>
      <c r="J501" s="2">
        <v>609</v>
      </c>
      <c r="K501" s="2" t="s">
        <v>864</v>
      </c>
      <c r="L501" s="43" t="s">
        <v>1150</v>
      </c>
      <c r="M501" s="41" t="s">
        <v>1151</v>
      </c>
      <c r="O501" s="41" t="s">
        <v>1152</v>
      </c>
      <c r="P501" s="41">
        <v>25</v>
      </c>
      <c r="Q501" s="41">
        <v>4</v>
      </c>
      <c r="R501" s="41">
        <v>84</v>
      </c>
      <c r="S501" t="s">
        <v>1153</v>
      </c>
      <c r="T501" t="s">
        <v>2765</v>
      </c>
      <c r="V501" t="s">
        <v>5816</v>
      </c>
      <c r="X501">
        <v>1</v>
      </c>
      <c r="Y501" t="s">
        <v>3126</v>
      </c>
      <c r="AH501" t="s">
        <v>359</v>
      </c>
    </row>
    <row r="502" spans="1:34" ht="15.75">
      <c r="A502" s="29">
        <f t="shared" si="7"/>
        <v>509</v>
      </c>
      <c r="B502" s="6">
        <v>954</v>
      </c>
      <c r="C502">
        <v>5</v>
      </c>
      <c r="D502" s="2">
        <v>1817</v>
      </c>
      <c r="E502">
        <v>238</v>
      </c>
      <c r="H502" t="s">
        <v>1541</v>
      </c>
      <c r="I502" s="2">
        <v>509</v>
      </c>
      <c r="J502" s="2">
        <v>0</v>
      </c>
      <c r="K502" s="2" t="s">
        <v>864</v>
      </c>
      <c r="L502" s="43" t="s">
        <v>4670</v>
      </c>
      <c r="P502" s="41">
        <v>29</v>
      </c>
      <c r="Q502" s="41">
        <v>4</v>
      </c>
      <c r="R502" s="41">
        <v>85</v>
      </c>
      <c r="AH502" t="s">
        <v>359</v>
      </c>
    </row>
    <row r="503" spans="1:34" ht="15.75">
      <c r="A503" s="29">
        <f t="shared" si="7"/>
        <v>609</v>
      </c>
      <c r="B503" s="6">
        <v>958</v>
      </c>
      <c r="C503">
        <v>5</v>
      </c>
      <c r="D503" s="2">
        <v>1817</v>
      </c>
      <c r="E503">
        <v>239</v>
      </c>
      <c r="H503" t="s">
        <v>1540</v>
      </c>
      <c r="I503" s="2">
        <v>609</v>
      </c>
      <c r="J503" s="2">
        <v>0</v>
      </c>
      <c r="K503" s="2" t="s">
        <v>864</v>
      </c>
      <c r="L503" s="43" t="s">
        <v>5872</v>
      </c>
      <c r="P503" s="41">
        <v>1</v>
      </c>
      <c r="Q503" s="41">
        <v>5</v>
      </c>
      <c r="R503" s="41" t="s">
        <v>1199</v>
      </c>
      <c r="S503" t="s">
        <v>3440</v>
      </c>
      <c r="AH503" t="s">
        <v>359</v>
      </c>
    </row>
    <row r="504" spans="1:34" ht="15.75">
      <c r="A504" s="29">
        <f t="shared" si="7"/>
        <v>3140</v>
      </c>
      <c r="B504" s="6">
        <v>954</v>
      </c>
      <c r="C504">
        <v>5</v>
      </c>
      <c r="D504" s="2">
        <v>1817</v>
      </c>
      <c r="E504">
        <v>240</v>
      </c>
      <c r="H504" t="s">
        <v>1540</v>
      </c>
      <c r="I504" s="2">
        <v>3140</v>
      </c>
      <c r="J504" s="2">
        <v>0</v>
      </c>
      <c r="K504" s="2" t="s">
        <v>864</v>
      </c>
      <c r="L504" s="43" t="s">
        <v>4674</v>
      </c>
      <c r="P504" s="41">
        <v>5</v>
      </c>
      <c r="Q504" s="41">
        <v>5</v>
      </c>
      <c r="R504" s="41">
        <v>78</v>
      </c>
      <c r="AH504" t="s">
        <v>359</v>
      </c>
    </row>
    <row r="505" spans="1:34" ht="15.75">
      <c r="A505" s="29">
        <f t="shared" si="7"/>
        <v>4320</v>
      </c>
      <c r="B505" s="6">
        <v>952</v>
      </c>
      <c r="C505">
        <v>5</v>
      </c>
      <c r="D505" s="2">
        <v>1817</v>
      </c>
      <c r="E505">
        <v>241</v>
      </c>
      <c r="H505" t="s">
        <v>1541</v>
      </c>
      <c r="I505" s="2">
        <v>820</v>
      </c>
      <c r="J505" s="2">
        <v>350</v>
      </c>
      <c r="K505" s="2" t="s">
        <v>864</v>
      </c>
      <c r="L505" s="43" t="s">
        <v>3121</v>
      </c>
      <c r="P505" s="41">
        <v>12</v>
      </c>
      <c r="Q505" s="41">
        <v>5</v>
      </c>
      <c r="R505" s="41">
        <v>63</v>
      </c>
      <c r="X505">
        <v>0.5</v>
      </c>
      <c r="Y505" t="s">
        <v>3539</v>
      </c>
      <c r="AH505" t="s">
        <v>359</v>
      </c>
    </row>
    <row r="506" spans="1:34" ht="15.75">
      <c r="A506" s="29">
        <f t="shared" si="7"/>
        <v>1366</v>
      </c>
      <c r="B506" s="6">
        <v>954</v>
      </c>
      <c r="C506">
        <v>5</v>
      </c>
      <c r="D506" s="2">
        <v>1817</v>
      </c>
      <c r="E506">
        <v>242</v>
      </c>
      <c r="H506" t="s">
        <v>1540</v>
      </c>
      <c r="I506" s="2">
        <v>1366</v>
      </c>
      <c r="J506" s="2">
        <v>0</v>
      </c>
      <c r="K506" s="2" t="s">
        <v>864</v>
      </c>
      <c r="L506" s="43" t="s">
        <v>4671</v>
      </c>
      <c r="P506" s="41">
        <v>12</v>
      </c>
      <c r="Q506" s="41">
        <v>5</v>
      </c>
      <c r="R506" s="41">
        <v>74</v>
      </c>
      <c r="AH506" t="s">
        <v>359</v>
      </c>
    </row>
    <row r="507" spans="1:34" ht="15.75">
      <c r="A507" s="29">
        <f t="shared" si="7"/>
        <v>390</v>
      </c>
      <c r="B507" s="6">
        <v>954</v>
      </c>
      <c r="C507">
        <v>5</v>
      </c>
      <c r="D507" s="2">
        <v>1817</v>
      </c>
      <c r="E507">
        <v>243</v>
      </c>
      <c r="H507" t="s">
        <v>1541</v>
      </c>
      <c r="I507" s="2">
        <v>390</v>
      </c>
      <c r="J507" s="2">
        <v>0</v>
      </c>
      <c r="K507" s="2" t="s">
        <v>864</v>
      </c>
      <c r="L507" s="43" t="s">
        <v>4672</v>
      </c>
      <c r="P507" s="41">
        <v>18</v>
      </c>
      <c r="Q507" s="41">
        <v>5</v>
      </c>
      <c r="R507" s="41">
        <v>68</v>
      </c>
      <c r="AH507" t="s">
        <v>359</v>
      </c>
    </row>
    <row r="508" spans="1:34" ht="15.75">
      <c r="A508" s="29">
        <f t="shared" si="7"/>
        <v>198</v>
      </c>
      <c r="B508" s="6">
        <v>955</v>
      </c>
      <c r="C508">
        <v>5</v>
      </c>
      <c r="D508" s="2">
        <v>1817</v>
      </c>
      <c r="E508">
        <v>244</v>
      </c>
      <c r="H508" t="s">
        <v>1541</v>
      </c>
      <c r="I508" s="2">
        <v>198</v>
      </c>
      <c r="J508" s="2">
        <v>0</v>
      </c>
      <c r="K508" s="2" t="s">
        <v>864</v>
      </c>
      <c r="L508" s="43" t="s">
        <v>4704</v>
      </c>
      <c r="P508" s="41">
        <v>21</v>
      </c>
      <c r="Q508" s="41">
        <v>5</v>
      </c>
      <c r="R508" s="41">
        <v>74</v>
      </c>
      <c r="S508" t="s">
        <v>3343</v>
      </c>
      <c r="AH508" t="s">
        <v>359</v>
      </c>
    </row>
    <row r="509" spans="1:34" ht="15.75">
      <c r="A509" s="29">
        <f t="shared" si="7"/>
        <v>975</v>
      </c>
      <c r="B509" s="6">
        <v>958</v>
      </c>
      <c r="C509">
        <v>5</v>
      </c>
      <c r="D509" s="2">
        <v>1817</v>
      </c>
      <c r="E509">
        <v>245</v>
      </c>
      <c r="H509" t="s">
        <v>1541</v>
      </c>
      <c r="I509" s="2">
        <v>975</v>
      </c>
      <c r="J509" s="2">
        <v>0</v>
      </c>
      <c r="K509" s="2" t="s">
        <v>864</v>
      </c>
      <c r="L509" s="43" t="s">
        <v>5869</v>
      </c>
      <c r="P509" s="41">
        <v>21</v>
      </c>
      <c r="Q509" s="41">
        <v>5</v>
      </c>
      <c r="R509" s="41">
        <v>26</v>
      </c>
      <c r="S509" t="s">
        <v>4669</v>
      </c>
      <c r="AH509" t="s">
        <v>359</v>
      </c>
    </row>
    <row r="510" spans="1:34" ht="15.75">
      <c r="A510" s="29">
        <f t="shared" si="7"/>
        <v>39862</v>
      </c>
      <c r="B510" s="6">
        <v>953</v>
      </c>
      <c r="C510">
        <v>5</v>
      </c>
      <c r="D510" s="2">
        <v>1817</v>
      </c>
      <c r="E510">
        <v>246</v>
      </c>
      <c r="H510" t="s">
        <v>1541</v>
      </c>
      <c r="I510" s="2">
        <v>24862</v>
      </c>
      <c r="J510" s="2">
        <v>750</v>
      </c>
      <c r="K510" s="2" t="s">
        <v>864</v>
      </c>
      <c r="L510" s="43" t="s">
        <v>4299</v>
      </c>
      <c r="M510" s="41" t="s">
        <v>3566</v>
      </c>
      <c r="N510" s="41" t="s">
        <v>1555</v>
      </c>
      <c r="O510" s="41" t="s">
        <v>1128</v>
      </c>
      <c r="P510" s="41">
        <v>24</v>
      </c>
      <c r="Q510" s="41">
        <v>5</v>
      </c>
      <c r="R510" s="41">
        <v>68</v>
      </c>
      <c r="T510" t="s">
        <v>1129</v>
      </c>
      <c r="V510" t="s">
        <v>5815</v>
      </c>
      <c r="X510">
        <v>1</v>
      </c>
      <c r="Y510" t="s">
        <v>2991</v>
      </c>
      <c r="AH510" t="s">
        <v>359</v>
      </c>
    </row>
    <row r="511" spans="1:34" ht="15.75">
      <c r="A511" s="29">
        <f t="shared" si="7"/>
        <v>32300</v>
      </c>
      <c r="B511" s="6">
        <v>954</v>
      </c>
      <c r="C511">
        <v>5</v>
      </c>
      <c r="D511" s="2">
        <v>1817</v>
      </c>
      <c r="E511">
        <v>247</v>
      </c>
      <c r="H511" t="s">
        <v>1541</v>
      </c>
      <c r="I511" s="2">
        <v>2300</v>
      </c>
      <c r="J511" s="2">
        <v>1500</v>
      </c>
      <c r="K511" s="2" t="s">
        <v>864</v>
      </c>
      <c r="L511" s="43" t="s">
        <v>2972</v>
      </c>
      <c r="M511" s="41" t="s">
        <v>1130</v>
      </c>
      <c r="N511" s="41" t="s">
        <v>1555</v>
      </c>
      <c r="O511" s="41" t="s">
        <v>1131</v>
      </c>
      <c r="P511" s="41">
        <v>26</v>
      </c>
      <c r="Q511" s="41">
        <v>5</v>
      </c>
      <c r="R511" s="41">
        <v>82</v>
      </c>
      <c r="S511" t="s">
        <v>1132</v>
      </c>
      <c r="T511" t="s">
        <v>1133</v>
      </c>
      <c r="V511" t="s">
        <v>1134</v>
      </c>
      <c r="X511">
        <v>1</v>
      </c>
      <c r="Y511" t="s">
        <v>1135</v>
      </c>
      <c r="AH511" t="s">
        <v>359</v>
      </c>
    </row>
    <row r="512" spans="1:34" ht="15.75">
      <c r="A512" s="29">
        <f t="shared" si="7"/>
        <v>2500</v>
      </c>
      <c r="B512" s="6">
        <v>953</v>
      </c>
      <c r="C512">
        <v>5</v>
      </c>
      <c r="D512" s="2">
        <v>1817</v>
      </c>
      <c r="E512">
        <v>249</v>
      </c>
      <c r="H512" t="s">
        <v>1541</v>
      </c>
      <c r="I512" s="2">
        <v>2500</v>
      </c>
      <c r="J512" s="2">
        <v>0</v>
      </c>
      <c r="K512" s="2" t="s">
        <v>864</v>
      </c>
      <c r="L512" s="43" t="s">
        <v>4678</v>
      </c>
      <c r="P512" s="41">
        <v>31</v>
      </c>
      <c r="Q512" s="41">
        <v>5</v>
      </c>
      <c r="R512" s="41">
        <v>25</v>
      </c>
      <c r="AH512" t="s">
        <v>359</v>
      </c>
    </row>
    <row r="513" spans="1:34" ht="15.75">
      <c r="A513" s="29">
        <f t="shared" si="7"/>
        <v>791</v>
      </c>
      <c r="B513" s="6">
        <v>955</v>
      </c>
      <c r="C513">
        <v>5</v>
      </c>
      <c r="D513" s="2">
        <v>1817</v>
      </c>
      <c r="E513">
        <v>250</v>
      </c>
      <c r="H513" t="s">
        <v>1541</v>
      </c>
      <c r="I513" s="2">
        <v>791</v>
      </c>
      <c r="J513" s="2">
        <v>0</v>
      </c>
      <c r="K513" s="2" t="s">
        <v>864</v>
      </c>
      <c r="L513" s="43" t="s">
        <v>4705</v>
      </c>
      <c r="P513" s="41">
        <v>4</v>
      </c>
      <c r="Q513" s="41">
        <v>6</v>
      </c>
      <c r="R513" s="41" t="s">
        <v>1199</v>
      </c>
      <c r="S513" t="s">
        <v>3440</v>
      </c>
      <c r="AH513" t="s">
        <v>359</v>
      </c>
    </row>
    <row r="514" spans="1:34" ht="15.75">
      <c r="A514" s="29">
        <f aca="true" t="shared" si="8" ref="A514:A577">I514+J514*20*X514</f>
        <v>957</v>
      </c>
      <c r="B514" s="6">
        <v>954</v>
      </c>
      <c r="C514">
        <v>5</v>
      </c>
      <c r="D514" s="2">
        <v>1817</v>
      </c>
      <c r="E514">
        <v>251</v>
      </c>
      <c r="H514" t="s">
        <v>1540</v>
      </c>
      <c r="I514" s="2">
        <v>957</v>
      </c>
      <c r="J514" s="2">
        <v>0</v>
      </c>
      <c r="K514" s="2" t="s">
        <v>864</v>
      </c>
      <c r="L514" s="43" t="s">
        <v>4666</v>
      </c>
      <c r="P514" s="41">
        <v>7</v>
      </c>
      <c r="Q514" s="41">
        <v>6</v>
      </c>
      <c r="R514" s="41">
        <v>4</v>
      </c>
      <c r="AH514" t="s">
        <v>359</v>
      </c>
    </row>
    <row r="515" spans="1:34" ht="15.75">
      <c r="A515" s="29">
        <f t="shared" si="8"/>
        <v>317</v>
      </c>
      <c r="B515" s="6">
        <v>955</v>
      </c>
      <c r="C515">
        <v>5</v>
      </c>
      <c r="D515" s="2">
        <v>1817</v>
      </c>
      <c r="E515">
        <v>252</v>
      </c>
      <c r="H515" t="s">
        <v>1541</v>
      </c>
      <c r="I515" s="2">
        <v>317</v>
      </c>
      <c r="J515" s="2">
        <v>0</v>
      </c>
      <c r="K515" s="2" t="s">
        <v>864</v>
      </c>
      <c r="L515" s="43" t="s">
        <v>4702</v>
      </c>
      <c r="P515" s="41">
        <v>8</v>
      </c>
      <c r="Q515" s="41">
        <v>6</v>
      </c>
      <c r="R515" s="41">
        <v>61</v>
      </c>
      <c r="S515" t="s">
        <v>3440</v>
      </c>
      <c r="AH515" t="s">
        <v>359</v>
      </c>
    </row>
    <row r="516" spans="1:34" ht="15.75">
      <c r="A516" s="29">
        <f t="shared" si="8"/>
        <v>1261</v>
      </c>
      <c r="B516" s="6">
        <v>959</v>
      </c>
      <c r="C516">
        <v>5</v>
      </c>
      <c r="D516" s="2">
        <v>1817</v>
      </c>
      <c r="E516">
        <v>253</v>
      </c>
      <c r="H516" t="s">
        <v>1541</v>
      </c>
      <c r="I516" s="2">
        <v>1261</v>
      </c>
      <c r="J516" s="2">
        <v>0</v>
      </c>
      <c r="K516" s="2" t="s">
        <v>864</v>
      </c>
      <c r="L516" s="43" t="s">
        <v>5877</v>
      </c>
      <c r="P516" s="41">
        <v>14</v>
      </c>
      <c r="Q516" s="41">
        <v>6</v>
      </c>
      <c r="R516" s="41">
        <v>37</v>
      </c>
      <c r="S516" t="s">
        <v>4669</v>
      </c>
      <c r="AH516" t="s">
        <v>359</v>
      </c>
    </row>
    <row r="517" spans="1:34" ht="15.75">
      <c r="A517" s="29">
        <f t="shared" si="8"/>
        <v>425</v>
      </c>
      <c r="B517" s="6">
        <v>952</v>
      </c>
      <c r="C517">
        <v>5</v>
      </c>
      <c r="D517" s="2">
        <v>1817</v>
      </c>
      <c r="E517">
        <v>254</v>
      </c>
      <c r="H517" t="s">
        <v>1540</v>
      </c>
      <c r="I517" s="2">
        <v>425</v>
      </c>
      <c r="J517" s="2">
        <v>0</v>
      </c>
      <c r="K517" s="2" t="s">
        <v>864</v>
      </c>
      <c r="L517" s="43" t="s">
        <v>3121</v>
      </c>
      <c r="P517" s="41">
        <v>15</v>
      </c>
      <c r="Q517" s="41">
        <v>6</v>
      </c>
      <c r="R517" s="41">
        <v>62</v>
      </c>
      <c r="AH517" t="s">
        <v>359</v>
      </c>
    </row>
    <row r="518" spans="1:34" ht="15.75">
      <c r="A518" s="29">
        <f t="shared" si="8"/>
        <v>939</v>
      </c>
      <c r="B518" s="6">
        <v>958</v>
      </c>
      <c r="C518">
        <v>5</v>
      </c>
      <c r="D518" s="2">
        <v>1817</v>
      </c>
      <c r="E518">
        <v>255</v>
      </c>
      <c r="H518" t="s">
        <v>1540</v>
      </c>
      <c r="I518" s="2">
        <v>939</v>
      </c>
      <c r="J518" s="2">
        <v>0</v>
      </c>
      <c r="K518" s="2" t="s">
        <v>864</v>
      </c>
      <c r="L518" s="43" t="s">
        <v>5870</v>
      </c>
      <c r="P518" s="41">
        <v>2</v>
      </c>
      <c r="Q518" s="41">
        <v>7</v>
      </c>
      <c r="R518" s="41">
        <v>67</v>
      </c>
      <c r="S518" t="s">
        <v>3343</v>
      </c>
      <c r="AH518" t="s">
        <v>359</v>
      </c>
    </row>
    <row r="519" spans="1:34" ht="15.75">
      <c r="A519" s="29">
        <f t="shared" si="8"/>
        <v>466</v>
      </c>
      <c r="B519" s="6">
        <v>952</v>
      </c>
      <c r="C519">
        <v>5</v>
      </c>
      <c r="D519" s="2">
        <v>1817</v>
      </c>
      <c r="E519">
        <v>256</v>
      </c>
      <c r="H519" t="s">
        <v>1541</v>
      </c>
      <c r="I519" s="2">
        <v>466</v>
      </c>
      <c r="J519" s="2">
        <v>0</v>
      </c>
      <c r="K519" s="2" t="s">
        <v>864</v>
      </c>
      <c r="L519" s="43" t="s">
        <v>3117</v>
      </c>
      <c r="P519" s="41">
        <v>10</v>
      </c>
      <c r="Q519" s="41">
        <v>7</v>
      </c>
      <c r="R519" s="41">
        <v>64</v>
      </c>
      <c r="AH519" t="s">
        <v>359</v>
      </c>
    </row>
    <row r="520" spans="1:34" ht="15.75">
      <c r="A520" s="29">
        <f t="shared" si="8"/>
        <v>32200</v>
      </c>
      <c r="B520" s="6">
        <v>952</v>
      </c>
      <c r="C520">
        <v>5</v>
      </c>
      <c r="D520" s="2">
        <v>1817</v>
      </c>
      <c r="E520">
        <v>258</v>
      </c>
      <c r="H520" t="s">
        <v>1540</v>
      </c>
      <c r="I520" s="2">
        <v>0</v>
      </c>
      <c r="J520" s="2">
        <v>1610</v>
      </c>
      <c r="K520" s="2" t="s">
        <v>864</v>
      </c>
      <c r="L520" s="43" t="s">
        <v>3533</v>
      </c>
      <c r="M520" s="41" t="s">
        <v>3534</v>
      </c>
      <c r="N520" s="41" t="s">
        <v>3535</v>
      </c>
      <c r="O520" s="41" t="s">
        <v>3536</v>
      </c>
      <c r="P520" s="41">
        <v>11</v>
      </c>
      <c r="Q520" s="41">
        <v>7</v>
      </c>
      <c r="R520" s="41" t="s">
        <v>1199</v>
      </c>
      <c r="T520" t="s">
        <v>3537</v>
      </c>
      <c r="V520" s="4" t="s">
        <v>3538</v>
      </c>
      <c r="W520" s="4"/>
      <c r="X520">
        <v>1</v>
      </c>
      <c r="Y520" t="s">
        <v>3532</v>
      </c>
      <c r="AH520" t="s">
        <v>359</v>
      </c>
    </row>
    <row r="521" spans="1:34" ht="15.75">
      <c r="A521" s="29">
        <f t="shared" si="8"/>
        <v>93</v>
      </c>
      <c r="B521" s="6">
        <v>956</v>
      </c>
      <c r="C521">
        <v>5</v>
      </c>
      <c r="D521" s="2">
        <v>1817</v>
      </c>
      <c r="E521">
        <v>259</v>
      </c>
      <c r="H521" t="s">
        <v>1541</v>
      </c>
      <c r="I521" s="2">
        <v>93</v>
      </c>
      <c r="J521" s="2">
        <v>0</v>
      </c>
      <c r="K521" s="2" t="s">
        <v>864</v>
      </c>
      <c r="L521" s="43" t="s">
        <v>4696</v>
      </c>
      <c r="P521" s="41">
        <v>13</v>
      </c>
      <c r="Q521" s="41">
        <v>7</v>
      </c>
      <c r="R521" s="41">
        <v>78</v>
      </c>
      <c r="S521" t="s">
        <v>3440</v>
      </c>
      <c r="AH521" t="s">
        <v>359</v>
      </c>
    </row>
    <row r="522" spans="1:34" ht="15.75">
      <c r="A522" s="29">
        <f t="shared" si="8"/>
        <v>238</v>
      </c>
      <c r="B522" s="6">
        <v>953</v>
      </c>
      <c r="C522">
        <v>5</v>
      </c>
      <c r="D522" s="2">
        <v>1817</v>
      </c>
      <c r="E522">
        <v>260</v>
      </c>
      <c r="H522" t="s">
        <v>1540</v>
      </c>
      <c r="I522" s="2">
        <v>238</v>
      </c>
      <c r="J522" s="2">
        <v>0</v>
      </c>
      <c r="K522" s="2" t="s">
        <v>864</v>
      </c>
      <c r="L522" s="43" t="s">
        <v>4680</v>
      </c>
      <c r="P522" s="41">
        <v>14</v>
      </c>
      <c r="Q522" s="41">
        <v>7</v>
      </c>
      <c r="R522" s="41">
        <v>64</v>
      </c>
      <c r="AH522" t="s">
        <v>359</v>
      </c>
    </row>
    <row r="523" spans="1:34" ht="15.75">
      <c r="A523" s="29">
        <f t="shared" si="8"/>
        <v>13568</v>
      </c>
      <c r="B523" s="6">
        <v>954</v>
      </c>
      <c r="C523">
        <v>5</v>
      </c>
      <c r="D523" s="2">
        <v>1817</v>
      </c>
      <c r="E523">
        <v>261</v>
      </c>
      <c r="H523" t="s">
        <v>4655</v>
      </c>
      <c r="I523" s="2">
        <v>8568</v>
      </c>
      <c r="J523" s="2">
        <v>500</v>
      </c>
      <c r="K523" s="2" t="s">
        <v>864</v>
      </c>
      <c r="L523" s="43" t="s">
        <v>4675</v>
      </c>
      <c r="P523" s="41">
        <v>16</v>
      </c>
      <c r="Q523" s="41">
        <v>7</v>
      </c>
      <c r="R523" s="41">
        <v>50</v>
      </c>
      <c r="X523">
        <v>0.5</v>
      </c>
      <c r="Y523" t="s">
        <v>1136</v>
      </c>
      <c r="AH523" t="s">
        <v>359</v>
      </c>
    </row>
    <row r="524" spans="1:34" ht="15.75">
      <c r="A524" s="29">
        <f t="shared" si="8"/>
        <v>20</v>
      </c>
      <c r="B524" s="6">
        <v>953</v>
      </c>
      <c r="C524">
        <v>5</v>
      </c>
      <c r="D524" s="2">
        <v>1817</v>
      </c>
      <c r="E524">
        <v>262</v>
      </c>
      <c r="H524" t="s">
        <v>1541</v>
      </c>
      <c r="I524" s="2">
        <v>20</v>
      </c>
      <c r="J524" s="2">
        <v>0</v>
      </c>
      <c r="K524" s="2" t="s">
        <v>864</v>
      </c>
      <c r="L524" s="43" t="s">
        <v>4682</v>
      </c>
      <c r="P524" s="41">
        <v>24</v>
      </c>
      <c r="Q524" s="41">
        <v>7</v>
      </c>
      <c r="R524" s="41">
        <v>76</v>
      </c>
      <c r="AH524" t="s">
        <v>359</v>
      </c>
    </row>
    <row r="525" spans="1:34" ht="15.75">
      <c r="A525" s="29">
        <f t="shared" si="8"/>
        <v>4762</v>
      </c>
      <c r="B525" s="6">
        <v>957</v>
      </c>
      <c r="C525">
        <v>5</v>
      </c>
      <c r="D525" s="2">
        <v>1817</v>
      </c>
      <c r="E525">
        <v>263</v>
      </c>
      <c r="H525" t="s">
        <v>1540</v>
      </c>
      <c r="I525" s="2">
        <v>4762</v>
      </c>
      <c r="J525" s="2">
        <v>0</v>
      </c>
      <c r="K525" s="2" t="s">
        <v>864</v>
      </c>
      <c r="L525" s="43" t="s">
        <v>4692</v>
      </c>
      <c r="P525" s="41">
        <v>26</v>
      </c>
      <c r="Q525" s="41">
        <v>7</v>
      </c>
      <c r="R525" s="41">
        <v>34</v>
      </c>
      <c r="AH525" t="s">
        <v>359</v>
      </c>
    </row>
    <row r="526" spans="1:34" ht="15.75">
      <c r="A526" s="29">
        <f t="shared" si="8"/>
        <v>3029</v>
      </c>
      <c r="B526" s="6">
        <v>955</v>
      </c>
      <c r="C526">
        <v>5</v>
      </c>
      <c r="D526" s="2">
        <v>1817</v>
      </c>
      <c r="E526">
        <v>264</v>
      </c>
      <c r="H526" t="s">
        <v>1541</v>
      </c>
      <c r="I526" s="2">
        <v>3029</v>
      </c>
      <c r="J526" s="2">
        <v>0</v>
      </c>
      <c r="K526" s="2" t="s">
        <v>864</v>
      </c>
      <c r="L526" s="43" t="s">
        <v>4705</v>
      </c>
      <c r="P526" s="41">
        <v>1</v>
      </c>
      <c r="Q526" s="41">
        <v>8</v>
      </c>
      <c r="R526" s="41">
        <v>33</v>
      </c>
      <c r="S526" t="s">
        <v>4669</v>
      </c>
      <c r="AH526" t="s">
        <v>359</v>
      </c>
    </row>
    <row r="527" spans="1:34" ht="15.75">
      <c r="A527" s="29">
        <f t="shared" si="8"/>
        <v>1714</v>
      </c>
      <c r="B527" s="6">
        <v>955</v>
      </c>
      <c r="C527">
        <v>5</v>
      </c>
      <c r="D527" s="2">
        <v>1817</v>
      </c>
      <c r="E527">
        <v>265</v>
      </c>
      <c r="H527" t="s">
        <v>1540</v>
      </c>
      <c r="I527" s="2">
        <v>1714</v>
      </c>
      <c r="J527" s="2">
        <v>0</v>
      </c>
      <c r="K527" s="2" t="s">
        <v>864</v>
      </c>
      <c r="L527" s="43" t="s">
        <v>4703</v>
      </c>
      <c r="P527" s="41">
        <v>23</v>
      </c>
      <c r="Q527" s="41">
        <v>8</v>
      </c>
      <c r="R527" s="41">
        <v>53</v>
      </c>
      <c r="S527" t="s">
        <v>3343</v>
      </c>
      <c r="AH527" t="s">
        <v>359</v>
      </c>
    </row>
    <row r="528" spans="1:34" ht="15.75">
      <c r="A528" s="29">
        <f t="shared" si="8"/>
        <v>135</v>
      </c>
      <c r="B528" s="6">
        <v>954</v>
      </c>
      <c r="C528">
        <v>5</v>
      </c>
      <c r="D528" s="2">
        <v>1817</v>
      </c>
      <c r="E528">
        <v>266</v>
      </c>
      <c r="H528" t="s">
        <v>1541</v>
      </c>
      <c r="I528" s="2">
        <v>135</v>
      </c>
      <c r="J528" s="2">
        <v>0</v>
      </c>
      <c r="K528" s="2" t="s">
        <v>864</v>
      </c>
      <c r="L528" s="43" t="s">
        <v>4673</v>
      </c>
      <c r="P528" s="41">
        <v>25</v>
      </c>
      <c r="Q528" s="41">
        <v>8</v>
      </c>
      <c r="R528" s="41">
        <v>72</v>
      </c>
      <c r="AH528" t="s">
        <v>359</v>
      </c>
    </row>
    <row r="529" spans="1:34" ht="15.75">
      <c r="A529" s="29">
        <f t="shared" si="8"/>
        <v>30000</v>
      </c>
      <c r="B529" s="6">
        <v>955</v>
      </c>
      <c r="C529">
        <v>5</v>
      </c>
      <c r="D529" s="2">
        <v>1817</v>
      </c>
      <c r="E529">
        <v>267</v>
      </c>
      <c r="H529" t="s">
        <v>1541</v>
      </c>
      <c r="I529" s="2">
        <v>30000</v>
      </c>
      <c r="J529" s="2">
        <v>0</v>
      </c>
      <c r="K529" s="2" t="s">
        <v>864</v>
      </c>
      <c r="L529" s="43" t="s">
        <v>1137</v>
      </c>
      <c r="M529" s="41" t="s">
        <v>1138</v>
      </c>
      <c r="O529" s="41" t="s">
        <v>1139</v>
      </c>
      <c r="P529" s="41">
        <v>26</v>
      </c>
      <c r="Q529" s="41">
        <v>8</v>
      </c>
      <c r="R529" s="41" t="s">
        <v>1199</v>
      </c>
      <c r="S529" t="s">
        <v>1140</v>
      </c>
      <c r="T529" t="s">
        <v>4646</v>
      </c>
      <c r="U529" t="s">
        <v>1139</v>
      </c>
      <c r="V529" t="s">
        <v>1141</v>
      </c>
      <c r="AH529" t="s">
        <v>359</v>
      </c>
    </row>
    <row r="530" spans="1:34" ht="15.75">
      <c r="A530" s="29">
        <f t="shared" si="8"/>
        <v>105</v>
      </c>
      <c r="B530" s="6">
        <v>954</v>
      </c>
      <c r="C530">
        <v>5</v>
      </c>
      <c r="D530" s="2">
        <v>1817</v>
      </c>
      <c r="E530">
        <v>268</v>
      </c>
      <c r="H530" t="s">
        <v>1540</v>
      </c>
      <c r="I530" s="2">
        <v>105</v>
      </c>
      <c r="J530" s="2">
        <v>0</v>
      </c>
      <c r="K530" s="2" t="s">
        <v>864</v>
      </c>
      <c r="L530" s="43" t="s">
        <v>4667</v>
      </c>
      <c r="P530" s="41">
        <v>28</v>
      </c>
      <c r="Q530" s="41">
        <v>8</v>
      </c>
      <c r="R530" s="41">
        <v>27</v>
      </c>
      <c r="AH530" t="s">
        <v>359</v>
      </c>
    </row>
    <row r="531" spans="1:34" ht="15.75">
      <c r="A531" s="29">
        <f t="shared" si="8"/>
        <v>365</v>
      </c>
      <c r="B531" s="6">
        <v>959</v>
      </c>
      <c r="C531">
        <v>5</v>
      </c>
      <c r="D531" s="2">
        <v>1817</v>
      </c>
      <c r="E531">
        <v>269</v>
      </c>
      <c r="H531" t="s">
        <v>1540</v>
      </c>
      <c r="I531" s="2">
        <v>365</v>
      </c>
      <c r="J531" s="2">
        <v>0</v>
      </c>
      <c r="K531" s="2" t="s">
        <v>864</v>
      </c>
      <c r="L531" s="43" t="s">
        <v>5878</v>
      </c>
      <c r="P531" s="41">
        <v>8</v>
      </c>
      <c r="Q531" s="41">
        <v>9</v>
      </c>
      <c r="R531" s="41">
        <v>64</v>
      </c>
      <c r="S531" t="s">
        <v>1266</v>
      </c>
      <c r="AH531" t="s">
        <v>359</v>
      </c>
    </row>
    <row r="532" spans="1:34" ht="15.75">
      <c r="A532" s="29">
        <f t="shared" si="8"/>
        <v>117</v>
      </c>
      <c r="B532" s="6">
        <v>956</v>
      </c>
      <c r="C532">
        <v>5</v>
      </c>
      <c r="D532" s="2">
        <v>1817</v>
      </c>
      <c r="E532">
        <v>270</v>
      </c>
      <c r="H532" t="s">
        <v>1540</v>
      </c>
      <c r="I532" s="2">
        <v>117</v>
      </c>
      <c r="J532" s="2">
        <v>0</v>
      </c>
      <c r="K532" s="2" t="s">
        <v>864</v>
      </c>
      <c r="L532" s="43" t="s">
        <v>4698</v>
      </c>
      <c r="P532" s="41">
        <v>11</v>
      </c>
      <c r="Q532" s="41">
        <v>9</v>
      </c>
      <c r="R532" s="41">
        <v>76</v>
      </c>
      <c r="S532" t="s">
        <v>1266</v>
      </c>
      <c r="AH532" t="s">
        <v>359</v>
      </c>
    </row>
    <row r="533" spans="1:34" ht="15.75">
      <c r="A533" s="29">
        <f t="shared" si="8"/>
        <v>8</v>
      </c>
      <c r="B533" s="6">
        <v>953</v>
      </c>
      <c r="C533">
        <v>5</v>
      </c>
      <c r="D533" s="2">
        <v>1817</v>
      </c>
      <c r="E533">
        <v>271</v>
      </c>
      <c r="H533" t="s">
        <v>1540</v>
      </c>
      <c r="I533" s="2">
        <v>8</v>
      </c>
      <c r="J533" s="2">
        <v>0</v>
      </c>
      <c r="K533" s="2" t="s">
        <v>864</v>
      </c>
      <c r="L533" s="43" t="s">
        <v>4681</v>
      </c>
      <c r="P533" s="41">
        <v>15</v>
      </c>
      <c r="Q533" s="41">
        <v>9</v>
      </c>
      <c r="R533" s="41">
        <v>23</v>
      </c>
      <c r="AH533" t="s">
        <v>359</v>
      </c>
    </row>
    <row r="534" spans="1:34" ht="15.75">
      <c r="A534" s="29">
        <f t="shared" si="8"/>
        <v>140</v>
      </c>
      <c r="B534" s="6">
        <v>956</v>
      </c>
      <c r="C534">
        <v>5</v>
      </c>
      <c r="D534" s="2">
        <v>1817</v>
      </c>
      <c r="E534">
        <v>272</v>
      </c>
      <c r="H534" t="s">
        <v>1540</v>
      </c>
      <c r="I534" s="2">
        <v>140</v>
      </c>
      <c r="J534" s="2">
        <v>0</v>
      </c>
      <c r="K534" s="2" t="s">
        <v>864</v>
      </c>
      <c r="L534" s="43" t="s">
        <v>4694</v>
      </c>
      <c r="P534" s="41">
        <v>15</v>
      </c>
      <c r="Q534" s="41">
        <v>9</v>
      </c>
      <c r="R534" s="41">
        <v>75</v>
      </c>
      <c r="S534" t="s">
        <v>1266</v>
      </c>
      <c r="AH534" t="s">
        <v>359</v>
      </c>
    </row>
    <row r="535" spans="1:34" ht="15.75">
      <c r="A535" s="29">
        <f t="shared" si="8"/>
        <v>3373</v>
      </c>
      <c r="B535" s="6">
        <v>952</v>
      </c>
      <c r="C535">
        <v>5</v>
      </c>
      <c r="D535" s="2">
        <v>1817</v>
      </c>
      <c r="E535">
        <v>273</v>
      </c>
      <c r="H535" t="s">
        <v>1540</v>
      </c>
      <c r="I535" s="2">
        <v>3373</v>
      </c>
      <c r="J535" s="2">
        <v>0</v>
      </c>
      <c r="K535" s="2" t="s">
        <v>864</v>
      </c>
      <c r="L535" s="43" t="s">
        <v>3120</v>
      </c>
      <c r="P535" s="41">
        <v>27</v>
      </c>
      <c r="Q535" s="41">
        <v>9</v>
      </c>
      <c r="R535" s="41">
        <v>60</v>
      </c>
      <c r="AH535" t="s">
        <v>359</v>
      </c>
    </row>
    <row r="536" spans="1:34" ht="15.75">
      <c r="A536" s="29">
        <f t="shared" si="8"/>
        <v>1117</v>
      </c>
      <c r="B536" s="6">
        <v>953</v>
      </c>
      <c r="C536">
        <v>5</v>
      </c>
      <c r="D536" s="2">
        <v>1817</v>
      </c>
      <c r="E536">
        <v>274</v>
      </c>
      <c r="H536" t="s">
        <v>1541</v>
      </c>
      <c r="I536" s="2">
        <v>1117</v>
      </c>
      <c r="J536" s="2">
        <v>0</v>
      </c>
      <c r="K536" s="2" t="s">
        <v>864</v>
      </c>
      <c r="L536" s="43" t="s">
        <v>4677</v>
      </c>
      <c r="P536" s="41">
        <v>4</v>
      </c>
      <c r="Q536" s="41">
        <v>10</v>
      </c>
      <c r="R536" s="41">
        <v>84</v>
      </c>
      <c r="AH536" t="s">
        <v>359</v>
      </c>
    </row>
    <row r="537" spans="1:34" ht="15.75">
      <c r="A537" s="29">
        <f t="shared" si="8"/>
        <v>20108</v>
      </c>
      <c r="B537" s="10">
        <v>957</v>
      </c>
      <c r="C537">
        <v>5</v>
      </c>
      <c r="D537" s="8">
        <v>1817</v>
      </c>
      <c r="E537">
        <v>275</v>
      </c>
      <c r="F537" s="9"/>
      <c r="G537" s="9"/>
      <c r="H537" s="9" t="s">
        <v>1540</v>
      </c>
      <c r="I537" s="8">
        <f>6219+2963+5926</f>
        <v>15108</v>
      </c>
      <c r="J537" s="8">
        <v>500</v>
      </c>
      <c r="K537" s="2" t="s">
        <v>864</v>
      </c>
      <c r="L537" s="43" t="s">
        <v>5820</v>
      </c>
      <c r="M537" s="41" t="s">
        <v>854</v>
      </c>
      <c r="N537" s="41" t="s">
        <v>5822</v>
      </c>
      <c r="O537" s="41" t="s">
        <v>5821</v>
      </c>
      <c r="P537" s="41">
        <v>8</v>
      </c>
      <c r="Q537" s="41">
        <v>10</v>
      </c>
      <c r="R537" s="41">
        <v>58</v>
      </c>
      <c r="S537" t="s">
        <v>5823</v>
      </c>
      <c r="T537" t="s">
        <v>5825</v>
      </c>
      <c r="V537" t="s">
        <v>883</v>
      </c>
      <c r="X537">
        <v>0.5</v>
      </c>
      <c r="Y537" t="s">
        <v>5824</v>
      </c>
      <c r="AH537" t="s">
        <v>359</v>
      </c>
    </row>
    <row r="538" spans="1:34" ht="15.75">
      <c r="A538" s="29">
        <f t="shared" si="8"/>
        <v>1508</v>
      </c>
      <c r="B538" s="6">
        <v>952</v>
      </c>
      <c r="C538">
        <v>5</v>
      </c>
      <c r="D538" s="2">
        <v>1817</v>
      </c>
      <c r="E538">
        <v>276</v>
      </c>
      <c r="H538" t="s">
        <v>1541</v>
      </c>
      <c r="I538" s="2">
        <v>1508</v>
      </c>
      <c r="J538" s="2">
        <v>0</v>
      </c>
      <c r="K538" s="2" t="s">
        <v>864</v>
      </c>
      <c r="L538" s="43" t="s">
        <v>3121</v>
      </c>
      <c r="P538" s="41">
        <v>14</v>
      </c>
      <c r="Q538" s="41">
        <v>10</v>
      </c>
      <c r="R538" s="41">
        <v>73</v>
      </c>
      <c r="AH538" t="s">
        <v>359</v>
      </c>
    </row>
    <row r="539" spans="1:34" ht="15.75">
      <c r="A539" s="29">
        <f t="shared" si="8"/>
        <v>6823</v>
      </c>
      <c r="B539" s="6">
        <v>957</v>
      </c>
      <c r="C539">
        <v>5</v>
      </c>
      <c r="D539" s="2">
        <v>1817</v>
      </c>
      <c r="E539">
        <v>277</v>
      </c>
      <c r="H539" t="s">
        <v>1540</v>
      </c>
      <c r="I539" s="2">
        <v>6823</v>
      </c>
      <c r="J539" s="2">
        <v>0</v>
      </c>
      <c r="K539" s="2" t="s">
        <v>864</v>
      </c>
      <c r="L539" s="43" t="s">
        <v>4691</v>
      </c>
      <c r="P539" s="41">
        <v>15</v>
      </c>
      <c r="Q539" s="41">
        <v>10</v>
      </c>
      <c r="R539" s="41">
        <v>80</v>
      </c>
      <c r="AH539" t="s">
        <v>359</v>
      </c>
    </row>
    <row r="540" spans="1:34" ht="15.75">
      <c r="A540" s="29">
        <f t="shared" si="8"/>
        <v>309</v>
      </c>
      <c r="B540" s="6">
        <v>958</v>
      </c>
      <c r="C540">
        <v>5</v>
      </c>
      <c r="D540" s="2">
        <v>1817</v>
      </c>
      <c r="E540">
        <v>278</v>
      </c>
      <c r="H540" t="s">
        <v>1540</v>
      </c>
      <c r="I540" s="2">
        <v>309</v>
      </c>
      <c r="J540" s="2">
        <v>0</v>
      </c>
      <c r="K540" s="2" t="s">
        <v>864</v>
      </c>
      <c r="L540" s="43" t="s">
        <v>5870</v>
      </c>
      <c r="P540" s="41">
        <v>15</v>
      </c>
      <c r="Q540" s="41">
        <v>10</v>
      </c>
      <c r="R540" s="41">
        <v>52</v>
      </c>
      <c r="S540" t="s">
        <v>4669</v>
      </c>
      <c r="AH540" t="s">
        <v>359</v>
      </c>
    </row>
    <row r="541" spans="1:34" ht="15.75">
      <c r="A541" s="29">
        <f t="shared" si="8"/>
        <v>8486</v>
      </c>
      <c r="B541" s="6">
        <v>955</v>
      </c>
      <c r="C541">
        <v>5</v>
      </c>
      <c r="D541" s="2">
        <v>1817</v>
      </c>
      <c r="E541">
        <v>279</v>
      </c>
      <c r="H541" t="s">
        <v>1541</v>
      </c>
      <c r="I541" s="2">
        <v>8486</v>
      </c>
      <c r="J541" s="2">
        <v>0</v>
      </c>
      <c r="K541" s="2" t="s">
        <v>864</v>
      </c>
      <c r="L541" s="43" t="s">
        <v>4701</v>
      </c>
      <c r="P541" s="41">
        <v>18</v>
      </c>
      <c r="Q541" s="41">
        <v>10</v>
      </c>
      <c r="R541" s="41">
        <v>67</v>
      </c>
      <c r="S541" t="s">
        <v>4669</v>
      </c>
      <c r="AH541" t="s">
        <v>359</v>
      </c>
    </row>
    <row r="542" spans="1:34" ht="15.75">
      <c r="A542" s="29">
        <f t="shared" si="8"/>
        <v>1634</v>
      </c>
      <c r="B542" s="6">
        <v>957</v>
      </c>
      <c r="C542">
        <v>5</v>
      </c>
      <c r="D542" s="2">
        <v>1817</v>
      </c>
      <c r="E542">
        <v>280</v>
      </c>
      <c r="H542" t="s">
        <v>1541</v>
      </c>
      <c r="I542" s="2">
        <v>1634</v>
      </c>
      <c r="J542" s="2">
        <v>0</v>
      </c>
      <c r="K542" s="2" t="s">
        <v>864</v>
      </c>
      <c r="L542" s="43" t="s">
        <v>4690</v>
      </c>
      <c r="P542" s="41">
        <v>20</v>
      </c>
      <c r="Q542" s="41">
        <v>10</v>
      </c>
      <c r="R542" s="41">
        <v>72</v>
      </c>
      <c r="AH542" t="s">
        <v>359</v>
      </c>
    </row>
    <row r="543" spans="1:34" ht="15.75">
      <c r="A543" s="29">
        <f t="shared" si="8"/>
        <v>100</v>
      </c>
      <c r="B543" s="6">
        <v>953</v>
      </c>
      <c r="C543">
        <v>5</v>
      </c>
      <c r="D543" s="2">
        <v>1817</v>
      </c>
      <c r="E543">
        <v>281</v>
      </c>
      <c r="H543" t="s">
        <v>1541</v>
      </c>
      <c r="I543" s="2">
        <v>100</v>
      </c>
      <c r="J543" s="2">
        <v>0</v>
      </c>
      <c r="K543" s="2" t="s">
        <v>864</v>
      </c>
      <c r="L543" s="43" t="s">
        <v>4679</v>
      </c>
      <c r="P543" s="41">
        <v>24</v>
      </c>
      <c r="Q543" s="41">
        <v>10</v>
      </c>
      <c r="R543" s="41">
        <v>82</v>
      </c>
      <c r="AH543" t="s">
        <v>359</v>
      </c>
    </row>
    <row r="544" spans="1:34" ht="15.75">
      <c r="A544" s="29">
        <f t="shared" si="8"/>
        <v>0</v>
      </c>
      <c r="B544" s="6">
        <v>955</v>
      </c>
      <c r="C544">
        <v>5</v>
      </c>
      <c r="D544" s="2">
        <v>1817</v>
      </c>
      <c r="E544">
        <v>282</v>
      </c>
      <c r="I544" s="2">
        <v>0</v>
      </c>
      <c r="J544" s="2">
        <v>0</v>
      </c>
      <c r="K544" s="2" t="s">
        <v>864</v>
      </c>
      <c r="L544" s="43" t="s">
        <v>5861</v>
      </c>
      <c r="M544" s="41" t="s">
        <v>5862</v>
      </c>
      <c r="N544" s="41" t="s">
        <v>3453</v>
      </c>
      <c r="O544" s="41" t="s">
        <v>5863</v>
      </c>
      <c r="P544" s="41">
        <v>25</v>
      </c>
      <c r="Q544" s="41">
        <v>10</v>
      </c>
      <c r="R544" s="41">
        <v>73</v>
      </c>
      <c r="S544" t="s">
        <v>5864</v>
      </c>
      <c r="T544" t="s">
        <v>3389</v>
      </c>
      <c r="V544" t="s">
        <v>5865</v>
      </c>
      <c r="AH544" t="s">
        <v>359</v>
      </c>
    </row>
    <row r="545" spans="1:34" ht="15.75">
      <c r="A545" s="29">
        <f t="shared" si="8"/>
        <v>201</v>
      </c>
      <c r="B545" s="6">
        <v>958</v>
      </c>
      <c r="C545">
        <v>5</v>
      </c>
      <c r="D545" s="2">
        <v>1817</v>
      </c>
      <c r="E545">
        <v>283</v>
      </c>
      <c r="H545" t="s">
        <v>1540</v>
      </c>
      <c r="I545" s="2">
        <v>201</v>
      </c>
      <c r="J545" s="2">
        <v>0</v>
      </c>
      <c r="K545" s="2" t="s">
        <v>864</v>
      </c>
      <c r="L545" s="43" t="s">
        <v>5871</v>
      </c>
      <c r="P545" s="41">
        <v>27</v>
      </c>
      <c r="Q545" s="41">
        <v>10</v>
      </c>
      <c r="R545" s="41">
        <v>75</v>
      </c>
      <c r="S545" t="s">
        <v>4669</v>
      </c>
      <c r="AH545" t="s">
        <v>359</v>
      </c>
    </row>
    <row r="546" spans="1:34" ht="15.75">
      <c r="A546" s="29">
        <f t="shared" si="8"/>
        <v>51502</v>
      </c>
      <c r="B546" s="6">
        <v>956</v>
      </c>
      <c r="C546">
        <v>5</v>
      </c>
      <c r="D546" s="2">
        <v>1817</v>
      </c>
      <c r="E546">
        <v>284</v>
      </c>
      <c r="H546" t="s">
        <v>1541</v>
      </c>
      <c r="I546" s="2">
        <f>40590+10912</f>
        <v>51502</v>
      </c>
      <c r="J546" s="2">
        <v>0</v>
      </c>
      <c r="K546" s="2" t="s">
        <v>864</v>
      </c>
      <c r="L546" s="43" t="s">
        <v>1154</v>
      </c>
      <c r="M546" s="41" t="s">
        <v>1155</v>
      </c>
      <c r="O546" s="41" t="s">
        <v>1156</v>
      </c>
      <c r="P546" s="41">
        <v>5</v>
      </c>
      <c r="Q546" s="41">
        <v>11</v>
      </c>
      <c r="R546" s="41">
        <v>34</v>
      </c>
      <c r="S546" t="s">
        <v>1157</v>
      </c>
      <c r="T546" t="s">
        <v>1158</v>
      </c>
      <c r="V546" t="s">
        <v>3558</v>
      </c>
      <c r="AH546" t="s">
        <v>359</v>
      </c>
    </row>
    <row r="547" spans="1:34" ht="15.75">
      <c r="A547" s="29">
        <f t="shared" si="8"/>
        <v>10</v>
      </c>
      <c r="B547" s="6">
        <v>958</v>
      </c>
      <c r="C547">
        <v>5</v>
      </c>
      <c r="D547" s="2">
        <v>1817</v>
      </c>
      <c r="E547">
        <v>285</v>
      </c>
      <c r="H547" t="s">
        <v>1541</v>
      </c>
      <c r="I547" s="2">
        <v>10</v>
      </c>
      <c r="J547" s="2">
        <v>0</v>
      </c>
      <c r="K547" s="2" t="s">
        <v>864</v>
      </c>
      <c r="L547" s="43" t="s">
        <v>5869</v>
      </c>
      <c r="P547" s="41">
        <v>5</v>
      </c>
      <c r="Q547" s="41">
        <v>11</v>
      </c>
      <c r="R547" s="41">
        <v>30</v>
      </c>
      <c r="S547" t="s">
        <v>4669</v>
      </c>
      <c r="AH547" t="s">
        <v>359</v>
      </c>
    </row>
    <row r="548" spans="1:34" ht="15.75">
      <c r="A548" s="29">
        <f t="shared" si="8"/>
        <v>382</v>
      </c>
      <c r="B548" s="6">
        <v>958</v>
      </c>
      <c r="C548">
        <v>5</v>
      </c>
      <c r="D548" s="2">
        <v>1817</v>
      </c>
      <c r="E548">
        <v>286</v>
      </c>
      <c r="H548" t="s">
        <v>1540</v>
      </c>
      <c r="I548" s="2">
        <v>382</v>
      </c>
      <c r="J548" s="2">
        <v>0</v>
      </c>
      <c r="K548" s="2" t="s">
        <v>864</v>
      </c>
      <c r="L548" s="43" t="s">
        <v>5867</v>
      </c>
      <c r="P548" s="41">
        <v>13</v>
      </c>
      <c r="Q548" s="41">
        <v>11</v>
      </c>
      <c r="R548" s="41">
        <v>19</v>
      </c>
      <c r="S548" t="s">
        <v>3343</v>
      </c>
      <c r="AH548" t="s">
        <v>359</v>
      </c>
    </row>
    <row r="549" spans="1:34" ht="15.75">
      <c r="A549" s="29">
        <f t="shared" si="8"/>
        <v>55395</v>
      </c>
      <c r="B549" s="6">
        <v>953</v>
      </c>
      <c r="C549">
        <v>5</v>
      </c>
      <c r="D549" s="2">
        <v>1817</v>
      </c>
      <c r="E549">
        <v>287</v>
      </c>
      <c r="H549" t="s">
        <v>1540</v>
      </c>
      <c r="I549" s="2">
        <v>55395</v>
      </c>
      <c r="J549" s="2">
        <v>0</v>
      </c>
      <c r="K549" s="2" t="s">
        <v>864</v>
      </c>
      <c r="L549" s="43" t="s">
        <v>3554</v>
      </c>
      <c r="M549" s="41" t="s">
        <v>3555</v>
      </c>
      <c r="N549" s="41" t="s">
        <v>1555</v>
      </c>
      <c r="O549" s="41" t="s">
        <v>3556</v>
      </c>
      <c r="P549" s="41">
        <v>17</v>
      </c>
      <c r="Q549" s="41">
        <v>11</v>
      </c>
      <c r="R549" s="41" t="s">
        <v>1199</v>
      </c>
      <c r="T549" t="s">
        <v>3557</v>
      </c>
      <c r="V549" t="s">
        <v>3558</v>
      </c>
      <c r="AH549" t="s">
        <v>359</v>
      </c>
    </row>
    <row r="550" spans="1:34" ht="15.75">
      <c r="A550" s="29">
        <f t="shared" si="8"/>
        <v>1208</v>
      </c>
      <c r="B550" s="6">
        <v>956</v>
      </c>
      <c r="C550">
        <v>5</v>
      </c>
      <c r="D550" s="2">
        <v>1817</v>
      </c>
      <c r="E550">
        <v>288</v>
      </c>
      <c r="H550" t="s">
        <v>1541</v>
      </c>
      <c r="I550" s="2">
        <v>1208</v>
      </c>
      <c r="J550" s="2">
        <v>0</v>
      </c>
      <c r="K550" s="2" t="s">
        <v>864</v>
      </c>
      <c r="L550" s="43" t="s">
        <v>4693</v>
      </c>
      <c r="P550" s="41">
        <v>25</v>
      </c>
      <c r="Q550" s="41">
        <v>11</v>
      </c>
      <c r="R550" s="41">
        <v>47</v>
      </c>
      <c r="S550" t="s">
        <v>4669</v>
      </c>
      <c r="AH550" t="s">
        <v>359</v>
      </c>
    </row>
    <row r="551" spans="1:34" ht="15.75">
      <c r="A551" s="29">
        <f t="shared" si="8"/>
        <v>33</v>
      </c>
      <c r="B551" s="6">
        <v>957</v>
      </c>
      <c r="C551">
        <v>5</v>
      </c>
      <c r="D551" s="2">
        <v>1817</v>
      </c>
      <c r="E551">
        <v>289</v>
      </c>
      <c r="H551" t="s">
        <v>1541</v>
      </c>
      <c r="I551" s="2">
        <v>33</v>
      </c>
      <c r="J551" s="2">
        <v>0</v>
      </c>
      <c r="K551" s="2" t="s">
        <v>864</v>
      </c>
      <c r="L551" s="43" t="s">
        <v>4688</v>
      </c>
      <c r="P551" s="41">
        <v>1</v>
      </c>
      <c r="Q551" s="41">
        <v>12</v>
      </c>
      <c r="R551" s="41">
        <v>49</v>
      </c>
      <c r="AH551" t="s">
        <v>359</v>
      </c>
    </row>
    <row r="552" spans="1:34" ht="15.75">
      <c r="A552" s="29">
        <f t="shared" si="8"/>
        <v>528</v>
      </c>
      <c r="B552" s="6">
        <v>955</v>
      </c>
      <c r="C552">
        <v>5</v>
      </c>
      <c r="D552" s="2">
        <v>1817</v>
      </c>
      <c r="E552">
        <v>290</v>
      </c>
      <c r="H552" t="s">
        <v>1541</v>
      </c>
      <c r="I552" s="2">
        <v>528</v>
      </c>
      <c r="J552" s="2">
        <v>0</v>
      </c>
      <c r="K552" s="2" t="s">
        <v>864</v>
      </c>
      <c r="L552" s="43" t="s">
        <v>4701</v>
      </c>
      <c r="P552" s="41">
        <v>4</v>
      </c>
      <c r="Q552" s="41">
        <v>12</v>
      </c>
      <c r="R552" s="41">
        <v>54</v>
      </c>
      <c r="S552" t="s">
        <v>3440</v>
      </c>
      <c r="AH552" t="s">
        <v>359</v>
      </c>
    </row>
    <row r="553" spans="1:34" ht="15.75">
      <c r="A553" s="29">
        <f t="shared" si="8"/>
        <v>75</v>
      </c>
      <c r="B553" s="6">
        <v>956</v>
      </c>
      <c r="C553">
        <v>5</v>
      </c>
      <c r="D553" s="2">
        <v>1817</v>
      </c>
      <c r="E553">
        <v>291</v>
      </c>
      <c r="H553" t="s">
        <v>1540</v>
      </c>
      <c r="I553" s="2">
        <v>75</v>
      </c>
      <c r="J553" s="2">
        <v>0</v>
      </c>
      <c r="K553" s="2" t="s">
        <v>864</v>
      </c>
      <c r="L553" s="43" t="s">
        <v>4683</v>
      </c>
      <c r="P553" s="41">
        <v>10</v>
      </c>
      <c r="Q553" s="41">
        <v>12</v>
      </c>
      <c r="R553" s="41">
        <v>74</v>
      </c>
      <c r="S553" t="s">
        <v>4669</v>
      </c>
      <c r="AH553" t="s">
        <v>359</v>
      </c>
    </row>
    <row r="554" spans="1:34" ht="15.75">
      <c r="A554" s="29">
        <f t="shared" si="8"/>
        <v>3269</v>
      </c>
      <c r="B554" s="6">
        <v>957</v>
      </c>
      <c r="C554">
        <v>5</v>
      </c>
      <c r="D554" s="2">
        <v>1817</v>
      </c>
      <c r="E554">
        <v>292</v>
      </c>
      <c r="H554" t="s">
        <v>1540</v>
      </c>
      <c r="I554" s="2">
        <v>3269</v>
      </c>
      <c r="J554" s="2">
        <v>0</v>
      </c>
      <c r="K554" s="2" t="s">
        <v>864</v>
      </c>
      <c r="L554" s="43" t="s">
        <v>4690</v>
      </c>
      <c r="P554" s="41">
        <v>17</v>
      </c>
      <c r="Q554" s="41">
        <v>12</v>
      </c>
      <c r="R554" s="41">
        <v>50</v>
      </c>
      <c r="AH554" t="s">
        <v>359</v>
      </c>
    </row>
    <row r="555" spans="1:34" ht="15.75">
      <c r="A555" s="29">
        <f t="shared" si="8"/>
        <v>215</v>
      </c>
      <c r="B555" s="6">
        <v>957</v>
      </c>
      <c r="C555">
        <v>5</v>
      </c>
      <c r="D555" s="2">
        <v>1817</v>
      </c>
      <c r="E555">
        <v>293</v>
      </c>
      <c r="H555" t="s">
        <v>1541</v>
      </c>
      <c r="I555" s="2">
        <v>215</v>
      </c>
      <c r="J555" s="2">
        <v>0</v>
      </c>
      <c r="K555" s="2" t="s">
        <v>864</v>
      </c>
      <c r="L555" s="43" t="s">
        <v>4688</v>
      </c>
      <c r="P555" s="41">
        <v>19</v>
      </c>
      <c r="Q555" s="41">
        <v>12</v>
      </c>
      <c r="R555" s="41">
        <v>27</v>
      </c>
      <c r="AH555" t="s">
        <v>359</v>
      </c>
    </row>
    <row r="556" spans="1:34" ht="15.75">
      <c r="A556" s="29">
        <f t="shared" si="8"/>
        <v>148</v>
      </c>
      <c r="B556" s="6">
        <v>958</v>
      </c>
      <c r="C556">
        <v>5</v>
      </c>
      <c r="D556" s="2">
        <v>1817</v>
      </c>
      <c r="E556">
        <v>294</v>
      </c>
      <c r="H556" t="s">
        <v>1541</v>
      </c>
      <c r="I556" s="2">
        <v>148</v>
      </c>
      <c r="J556" s="2">
        <v>0</v>
      </c>
      <c r="K556" s="2" t="s">
        <v>864</v>
      </c>
      <c r="L556" s="43" t="s">
        <v>5868</v>
      </c>
      <c r="P556" s="41">
        <v>20</v>
      </c>
      <c r="Q556" s="41">
        <v>12</v>
      </c>
      <c r="R556" s="41">
        <v>63</v>
      </c>
      <c r="S556" t="s">
        <v>4669</v>
      </c>
      <c r="AH556" t="s">
        <v>359</v>
      </c>
    </row>
    <row r="557" spans="1:34" ht="15.75">
      <c r="A557" s="29">
        <f t="shared" si="8"/>
        <v>12</v>
      </c>
      <c r="B557" s="6">
        <v>952</v>
      </c>
      <c r="C557">
        <v>5</v>
      </c>
      <c r="D557" s="2">
        <v>1817</v>
      </c>
      <c r="E557">
        <v>295</v>
      </c>
      <c r="H557" t="s">
        <v>1540</v>
      </c>
      <c r="I557" s="2">
        <v>12</v>
      </c>
      <c r="J557" s="2">
        <v>0</v>
      </c>
      <c r="K557" s="2" t="s">
        <v>864</v>
      </c>
      <c r="L557" s="43" t="s">
        <v>3118</v>
      </c>
      <c r="P557" s="41">
        <v>22</v>
      </c>
      <c r="Q557" s="41">
        <v>12</v>
      </c>
      <c r="R557" s="41">
        <v>30</v>
      </c>
      <c r="AG557" t="s">
        <v>3119</v>
      </c>
      <c r="AH557" t="s">
        <v>359</v>
      </c>
    </row>
    <row r="558" spans="1:34" ht="15.75">
      <c r="A558" s="29">
        <f t="shared" si="8"/>
        <v>20116</v>
      </c>
      <c r="B558" s="10">
        <v>958</v>
      </c>
      <c r="C558">
        <v>5</v>
      </c>
      <c r="D558" s="8">
        <v>1817</v>
      </c>
      <c r="E558">
        <v>296</v>
      </c>
      <c r="F558" s="9"/>
      <c r="G558" s="9"/>
      <c r="H558" s="9" t="s">
        <v>1540</v>
      </c>
      <c r="I558" s="8">
        <v>6116</v>
      </c>
      <c r="J558" s="8">
        <v>700</v>
      </c>
      <c r="K558" s="2" t="s">
        <v>864</v>
      </c>
      <c r="L558" s="43" t="s">
        <v>4714</v>
      </c>
      <c r="M558" s="41" t="s">
        <v>4715</v>
      </c>
      <c r="N558" s="41" t="s">
        <v>4716</v>
      </c>
      <c r="O558" s="41" t="s">
        <v>4717</v>
      </c>
      <c r="P558" s="41">
        <v>26</v>
      </c>
      <c r="Q558" s="41">
        <v>12</v>
      </c>
      <c r="R558" s="41">
        <v>74</v>
      </c>
      <c r="S558" t="s">
        <v>4718</v>
      </c>
      <c r="T558" t="s">
        <v>4719</v>
      </c>
      <c r="V558" t="s">
        <v>1214</v>
      </c>
      <c r="X558">
        <v>1</v>
      </c>
      <c r="Y558" t="s">
        <v>2994</v>
      </c>
      <c r="AA558" t="s">
        <v>848</v>
      </c>
      <c r="AH558" t="s">
        <v>359</v>
      </c>
    </row>
    <row r="559" spans="1:34" ht="15.75">
      <c r="A559" s="29">
        <f t="shared" si="8"/>
        <v>740</v>
      </c>
      <c r="B559" s="6">
        <v>954</v>
      </c>
      <c r="C559">
        <v>5</v>
      </c>
      <c r="D559" s="2">
        <v>1817</v>
      </c>
      <c r="E559">
        <v>298</v>
      </c>
      <c r="H559" t="s">
        <v>1540</v>
      </c>
      <c r="I559" s="2">
        <v>740</v>
      </c>
      <c r="J559" s="2">
        <v>0</v>
      </c>
      <c r="K559" s="2" t="s">
        <v>864</v>
      </c>
      <c r="L559" s="43" t="s">
        <v>4668</v>
      </c>
      <c r="P559" s="41">
        <v>30</v>
      </c>
      <c r="Q559" s="41">
        <v>12</v>
      </c>
      <c r="R559" s="41">
        <v>86</v>
      </c>
      <c r="AH559" t="s">
        <v>359</v>
      </c>
    </row>
    <row r="560" spans="1:34" ht="15.75">
      <c r="A560" s="29">
        <f t="shared" si="8"/>
        <v>8888</v>
      </c>
      <c r="B560" s="6">
        <v>959</v>
      </c>
      <c r="C560">
        <v>5</v>
      </c>
      <c r="D560" s="2">
        <v>1817</v>
      </c>
      <c r="E560">
        <v>299</v>
      </c>
      <c r="H560" t="s">
        <v>1541</v>
      </c>
      <c r="I560" s="2">
        <v>8888</v>
      </c>
      <c r="J560" s="2">
        <v>0</v>
      </c>
      <c r="K560" s="2" t="s">
        <v>875</v>
      </c>
      <c r="L560" s="43" t="s">
        <v>5879</v>
      </c>
      <c r="P560" s="41">
        <v>3</v>
      </c>
      <c r="Q560" s="41">
        <v>11</v>
      </c>
      <c r="R560" s="41">
        <v>52</v>
      </c>
      <c r="S560" t="s">
        <v>4669</v>
      </c>
      <c r="AH560" t="s">
        <v>359</v>
      </c>
    </row>
    <row r="561" spans="1:34" ht="15.75">
      <c r="A561" s="29">
        <f t="shared" si="8"/>
        <v>864</v>
      </c>
      <c r="B561" s="6">
        <v>959</v>
      </c>
      <c r="C561">
        <v>5</v>
      </c>
      <c r="D561" s="2">
        <v>1817</v>
      </c>
      <c r="E561">
        <v>300</v>
      </c>
      <c r="H561" t="s">
        <v>1541</v>
      </c>
      <c r="I561" s="2">
        <v>864</v>
      </c>
      <c r="J561" s="2">
        <v>0</v>
      </c>
      <c r="K561" s="2" t="s">
        <v>875</v>
      </c>
      <c r="L561" s="43" t="s">
        <v>5880</v>
      </c>
      <c r="P561" s="41">
        <v>23</v>
      </c>
      <c r="Q561" s="41">
        <v>9</v>
      </c>
      <c r="R561" s="41">
        <v>63</v>
      </c>
      <c r="S561" t="s">
        <v>3343</v>
      </c>
      <c r="AH561" t="s">
        <v>359</v>
      </c>
    </row>
    <row r="562" spans="1:34" ht="15.75">
      <c r="A562" s="29">
        <f t="shared" si="8"/>
        <v>4186</v>
      </c>
      <c r="B562" s="6">
        <v>960</v>
      </c>
      <c r="C562">
        <v>5</v>
      </c>
      <c r="D562" s="2">
        <v>1817</v>
      </c>
      <c r="E562">
        <v>301</v>
      </c>
      <c r="H562" t="s">
        <v>1540</v>
      </c>
      <c r="I562" s="2">
        <v>4186</v>
      </c>
      <c r="J562" s="2">
        <v>0</v>
      </c>
      <c r="K562" s="2" t="s">
        <v>850</v>
      </c>
      <c r="L562" s="43" t="s">
        <v>5890</v>
      </c>
      <c r="P562" s="41">
        <v>6</v>
      </c>
      <c r="Q562" s="41">
        <v>3</v>
      </c>
      <c r="R562" s="41" t="s">
        <v>1199</v>
      </c>
      <c r="S562" t="s">
        <v>1547</v>
      </c>
      <c r="AH562" t="s">
        <v>359</v>
      </c>
    </row>
    <row r="563" spans="1:34" ht="15.75">
      <c r="A563" s="29">
        <f t="shared" si="8"/>
        <v>20018</v>
      </c>
      <c r="B563" s="10">
        <v>960</v>
      </c>
      <c r="C563">
        <v>5</v>
      </c>
      <c r="D563" s="8">
        <v>1817</v>
      </c>
      <c r="E563">
        <v>302</v>
      </c>
      <c r="F563" s="9"/>
      <c r="G563" s="9"/>
      <c r="H563" s="9" t="s">
        <v>1541</v>
      </c>
      <c r="I563" s="8">
        <v>18</v>
      </c>
      <c r="J563" s="8">
        <v>4000</v>
      </c>
      <c r="K563" s="2" t="s">
        <v>850</v>
      </c>
      <c r="L563" s="43" t="s">
        <v>1160</v>
      </c>
      <c r="M563" s="43" t="s">
        <v>4725</v>
      </c>
      <c r="N563" s="41" t="s">
        <v>1267</v>
      </c>
      <c r="O563" s="41" t="s">
        <v>5892</v>
      </c>
      <c r="P563" s="41">
        <v>6</v>
      </c>
      <c r="Q563" s="41">
        <v>11</v>
      </c>
      <c r="R563" s="41">
        <v>15</v>
      </c>
      <c r="S563" t="s">
        <v>3343</v>
      </c>
      <c r="T563" t="s">
        <v>4726</v>
      </c>
      <c r="V563" t="s">
        <v>4727</v>
      </c>
      <c r="X563">
        <v>0.25</v>
      </c>
      <c r="Y563" t="s">
        <v>4728</v>
      </c>
      <c r="AH563" t="s">
        <v>359</v>
      </c>
    </row>
    <row r="564" spans="1:34" ht="15.75">
      <c r="A564" s="29">
        <f t="shared" si="8"/>
        <v>600</v>
      </c>
      <c r="B564" s="6">
        <v>960</v>
      </c>
      <c r="C564">
        <v>5</v>
      </c>
      <c r="D564" s="2">
        <v>1817</v>
      </c>
      <c r="E564">
        <v>303</v>
      </c>
      <c r="H564" t="s">
        <v>1540</v>
      </c>
      <c r="I564" s="2">
        <v>600</v>
      </c>
      <c r="J564" s="2">
        <v>0</v>
      </c>
      <c r="K564" s="2" t="s">
        <v>850</v>
      </c>
      <c r="L564" s="43" t="s">
        <v>5891</v>
      </c>
      <c r="P564" s="41">
        <v>21</v>
      </c>
      <c r="Q564" s="41">
        <v>2</v>
      </c>
      <c r="R564" s="41">
        <v>1</v>
      </c>
      <c r="S564" t="s">
        <v>1262</v>
      </c>
      <c r="AH564" t="s">
        <v>359</v>
      </c>
    </row>
    <row r="565" spans="1:34" ht="15.75">
      <c r="A565" s="29">
        <f t="shared" si="8"/>
        <v>1050</v>
      </c>
      <c r="B565" s="6">
        <v>960</v>
      </c>
      <c r="C565">
        <v>5</v>
      </c>
      <c r="D565" s="2">
        <v>1817</v>
      </c>
      <c r="E565">
        <v>304</v>
      </c>
      <c r="H565" t="s">
        <v>1540</v>
      </c>
      <c r="I565" s="2">
        <v>1050</v>
      </c>
      <c r="J565" s="2">
        <v>0</v>
      </c>
      <c r="K565" s="2" t="s">
        <v>850</v>
      </c>
      <c r="L565" s="43" t="s">
        <v>5891</v>
      </c>
      <c r="P565" s="41">
        <v>23</v>
      </c>
      <c r="Q565" s="41">
        <v>2</v>
      </c>
      <c r="R565" s="41">
        <v>1</v>
      </c>
      <c r="S565" t="s">
        <v>1262</v>
      </c>
      <c r="AH565" t="s">
        <v>359</v>
      </c>
    </row>
    <row r="566" spans="1:34" ht="15.75">
      <c r="A566" s="29">
        <f t="shared" si="8"/>
        <v>55076</v>
      </c>
      <c r="B566" s="6">
        <v>960</v>
      </c>
      <c r="C566">
        <v>5</v>
      </c>
      <c r="D566" s="2">
        <v>1817</v>
      </c>
      <c r="E566">
        <v>305</v>
      </c>
      <c r="H566" t="s">
        <v>1540</v>
      </c>
      <c r="I566" s="2">
        <v>29076</v>
      </c>
      <c r="J566" s="2">
        <f>1100+200</f>
        <v>1300</v>
      </c>
      <c r="K566" s="2" t="s">
        <v>850</v>
      </c>
      <c r="L566" s="43" t="s">
        <v>4729</v>
      </c>
      <c r="M566" s="41" t="s">
        <v>3159</v>
      </c>
      <c r="N566" s="41" t="s">
        <v>1555</v>
      </c>
      <c r="O566" s="41" t="s">
        <v>4730</v>
      </c>
      <c r="P566" s="41">
        <v>1</v>
      </c>
      <c r="Q566" s="41">
        <v>6</v>
      </c>
      <c r="R566" s="41">
        <v>55</v>
      </c>
      <c r="S566" t="s">
        <v>3343</v>
      </c>
      <c r="T566" t="s">
        <v>4731</v>
      </c>
      <c r="V566" t="s">
        <v>3145</v>
      </c>
      <c r="X566">
        <v>1</v>
      </c>
      <c r="Y566" t="s">
        <v>4732</v>
      </c>
      <c r="AH566" t="s">
        <v>359</v>
      </c>
    </row>
    <row r="567" spans="1:34" ht="15.75">
      <c r="A567" s="29">
        <f t="shared" si="8"/>
        <v>5905</v>
      </c>
      <c r="B567" s="6">
        <v>960</v>
      </c>
      <c r="C567">
        <v>5</v>
      </c>
      <c r="D567" s="2">
        <v>1817</v>
      </c>
      <c r="E567">
        <v>306</v>
      </c>
      <c r="H567" t="s">
        <v>1540</v>
      </c>
      <c r="I567" s="2">
        <v>5905</v>
      </c>
      <c r="J567" s="2">
        <v>0</v>
      </c>
      <c r="K567" s="2" t="s">
        <v>850</v>
      </c>
      <c r="L567" s="43" t="s">
        <v>5893</v>
      </c>
      <c r="P567" s="41">
        <v>6</v>
      </c>
      <c r="Q567" s="41">
        <v>4</v>
      </c>
      <c r="R567" s="41">
        <v>75</v>
      </c>
      <c r="S567" t="s">
        <v>4669</v>
      </c>
      <c r="AH567" t="s">
        <v>359</v>
      </c>
    </row>
    <row r="568" spans="1:34" ht="15.75">
      <c r="A568" s="29">
        <f t="shared" si="8"/>
        <v>20761</v>
      </c>
      <c r="B568" s="10">
        <v>960</v>
      </c>
      <c r="C568">
        <v>5</v>
      </c>
      <c r="D568" s="8">
        <v>1817</v>
      </c>
      <c r="E568">
        <v>307</v>
      </c>
      <c r="F568" s="9"/>
      <c r="G568" s="9"/>
      <c r="H568" s="9" t="s">
        <v>1540</v>
      </c>
      <c r="I568" s="8">
        <v>20761</v>
      </c>
      <c r="J568" s="8">
        <v>0</v>
      </c>
      <c r="K568" s="2" t="s">
        <v>850</v>
      </c>
      <c r="L568" s="43" t="s">
        <v>4720</v>
      </c>
      <c r="M568" s="41" t="s">
        <v>4721</v>
      </c>
      <c r="N568" s="41" t="s">
        <v>3447</v>
      </c>
      <c r="O568" s="41" t="s">
        <v>4722</v>
      </c>
      <c r="P568" s="41">
        <v>27</v>
      </c>
      <c r="Q568" s="41">
        <v>3</v>
      </c>
      <c r="R568" s="41">
        <v>74</v>
      </c>
      <c r="S568" t="s">
        <v>4723</v>
      </c>
      <c r="T568" t="s">
        <v>4724</v>
      </c>
      <c r="V568" t="s">
        <v>1513</v>
      </c>
      <c r="AH568" t="s">
        <v>359</v>
      </c>
    </row>
    <row r="569" spans="1:34" ht="15.75">
      <c r="A569" s="29">
        <f t="shared" si="8"/>
        <v>2213</v>
      </c>
      <c r="B569" s="6">
        <v>960</v>
      </c>
      <c r="C569">
        <v>5</v>
      </c>
      <c r="D569" s="2">
        <v>1817</v>
      </c>
      <c r="E569">
        <v>308</v>
      </c>
      <c r="H569" t="s">
        <v>1540</v>
      </c>
      <c r="I569" s="2">
        <f>648+1565</f>
        <v>2213</v>
      </c>
      <c r="J569" s="2">
        <v>0</v>
      </c>
      <c r="K569" s="2" t="s">
        <v>850</v>
      </c>
      <c r="L569" s="43" t="s">
        <v>5894</v>
      </c>
      <c r="P569" s="41">
        <v>9</v>
      </c>
      <c r="Q569" s="41">
        <v>6</v>
      </c>
      <c r="R569" s="41">
        <v>67</v>
      </c>
      <c r="S569" t="s">
        <v>3343</v>
      </c>
      <c r="AH569" t="s">
        <v>359</v>
      </c>
    </row>
    <row r="570" spans="1:34" ht="15.75">
      <c r="A570" s="29">
        <f t="shared" si="8"/>
        <v>4793</v>
      </c>
      <c r="B570" s="6">
        <v>960</v>
      </c>
      <c r="C570">
        <v>5</v>
      </c>
      <c r="D570" s="2">
        <v>1817</v>
      </c>
      <c r="E570">
        <v>309</v>
      </c>
      <c r="H570" t="s">
        <v>1541</v>
      </c>
      <c r="I570" s="2">
        <v>4793</v>
      </c>
      <c r="J570" s="2">
        <v>0</v>
      </c>
      <c r="K570" s="2" t="s">
        <v>850</v>
      </c>
      <c r="L570" s="43" t="s">
        <v>5896</v>
      </c>
      <c r="P570" s="41">
        <v>18</v>
      </c>
      <c r="Q570" s="41">
        <v>9</v>
      </c>
      <c r="R570" s="41">
        <v>62</v>
      </c>
      <c r="S570" t="s">
        <v>3440</v>
      </c>
      <c r="AH570" t="s">
        <v>359</v>
      </c>
    </row>
    <row r="571" spans="1:34" ht="15.75">
      <c r="A571" s="29">
        <f t="shared" si="8"/>
        <v>9350</v>
      </c>
      <c r="B571" s="6">
        <v>960</v>
      </c>
      <c r="C571">
        <v>5</v>
      </c>
      <c r="D571" s="2">
        <v>1817</v>
      </c>
      <c r="E571">
        <v>310</v>
      </c>
      <c r="H571" t="s">
        <v>1540</v>
      </c>
      <c r="I571" s="2">
        <v>9350</v>
      </c>
      <c r="J571" s="2">
        <v>0</v>
      </c>
      <c r="K571" s="2" t="s">
        <v>850</v>
      </c>
      <c r="L571" s="43" t="s">
        <v>5895</v>
      </c>
      <c r="P571" s="41">
        <v>12</v>
      </c>
      <c r="Q571" s="41">
        <v>4</v>
      </c>
      <c r="R571" s="41">
        <v>71</v>
      </c>
      <c r="S571" t="s">
        <v>4669</v>
      </c>
      <c r="AH571" t="s">
        <v>359</v>
      </c>
    </row>
    <row r="572" spans="1:34" ht="15.75">
      <c r="A572" s="29">
        <f t="shared" si="8"/>
        <v>139</v>
      </c>
      <c r="B572" s="6">
        <v>961</v>
      </c>
      <c r="C572">
        <v>5</v>
      </c>
      <c r="D572" s="2">
        <v>1817</v>
      </c>
      <c r="E572">
        <v>311</v>
      </c>
      <c r="H572" t="s">
        <v>1541</v>
      </c>
      <c r="I572" s="2">
        <v>139</v>
      </c>
      <c r="J572" s="2">
        <v>0</v>
      </c>
      <c r="K572" s="2" t="s">
        <v>850</v>
      </c>
      <c r="L572" s="43" t="s">
        <v>5881</v>
      </c>
      <c r="P572" s="41">
        <v>30</v>
      </c>
      <c r="Q572" s="41">
        <v>4</v>
      </c>
      <c r="R572" s="41">
        <v>60</v>
      </c>
      <c r="S572" t="s">
        <v>4669</v>
      </c>
      <c r="AH572" t="s">
        <v>359</v>
      </c>
    </row>
    <row r="573" spans="1:34" ht="15.75">
      <c r="A573" s="29">
        <f t="shared" si="8"/>
        <v>20</v>
      </c>
      <c r="B573" s="6">
        <v>961</v>
      </c>
      <c r="C573">
        <v>5</v>
      </c>
      <c r="D573" s="2">
        <v>1817</v>
      </c>
      <c r="E573">
        <v>312</v>
      </c>
      <c r="H573" t="s">
        <v>1540</v>
      </c>
      <c r="I573" s="2">
        <v>20</v>
      </c>
      <c r="J573" s="2">
        <v>0</v>
      </c>
      <c r="K573" s="2" t="s">
        <v>850</v>
      </c>
      <c r="L573" s="43" t="s">
        <v>5882</v>
      </c>
      <c r="P573" s="41">
        <v>29</v>
      </c>
      <c r="Q573" s="41">
        <v>1</v>
      </c>
      <c r="R573" s="41">
        <v>61</v>
      </c>
      <c r="S573" t="s">
        <v>1266</v>
      </c>
      <c r="AH573" t="s">
        <v>359</v>
      </c>
    </row>
    <row r="574" spans="1:34" ht="15.75">
      <c r="A574" s="29">
        <f t="shared" si="8"/>
        <v>224</v>
      </c>
      <c r="B574" s="6">
        <v>961</v>
      </c>
      <c r="C574">
        <v>5</v>
      </c>
      <c r="D574" s="2">
        <v>1817</v>
      </c>
      <c r="E574">
        <v>313</v>
      </c>
      <c r="H574" t="s">
        <v>1541</v>
      </c>
      <c r="I574" s="2">
        <v>224</v>
      </c>
      <c r="J574" s="2">
        <v>0</v>
      </c>
      <c r="K574" s="2" t="s">
        <v>850</v>
      </c>
      <c r="L574" s="43" t="s">
        <v>5882</v>
      </c>
      <c r="P574" s="41">
        <v>13</v>
      </c>
      <c r="Q574" s="41">
        <v>8</v>
      </c>
      <c r="R574" s="41">
        <v>78</v>
      </c>
      <c r="S574" t="s">
        <v>3440</v>
      </c>
      <c r="AH574" t="s">
        <v>359</v>
      </c>
    </row>
    <row r="575" spans="1:34" ht="15.75">
      <c r="A575" s="29">
        <f t="shared" si="8"/>
        <v>276</v>
      </c>
      <c r="B575" s="6">
        <v>961</v>
      </c>
      <c r="C575">
        <v>5</v>
      </c>
      <c r="D575" s="2">
        <v>1817</v>
      </c>
      <c r="E575">
        <v>314</v>
      </c>
      <c r="H575" t="s">
        <v>1540</v>
      </c>
      <c r="I575" s="2">
        <v>276</v>
      </c>
      <c r="J575" s="2">
        <v>0</v>
      </c>
      <c r="K575" s="2" t="s">
        <v>850</v>
      </c>
      <c r="L575" s="43" t="s">
        <v>5882</v>
      </c>
      <c r="P575" s="41">
        <v>18</v>
      </c>
      <c r="Q575" s="41">
        <v>3</v>
      </c>
      <c r="R575" s="41">
        <v>80</v>
      </c>
      <c r="S575" t="s">
        <v>1266</v>
      </c>
      <c r="AH575" t="s">
        <v>359</v>
      </c>
    </row>
    <row r="576" spans="1:34" ht="15.75">
      <c r="A576" s="29">
        <f t="shared" si="8"/>
        <v>8774</v>
      </c>
      <c r="B576" s="6">
        <v>961</v>
      </c>
      <c r="C576">
        <v>5</v>
      </c>
      <c r="D576" s="2">
        <v>1817</v>
      </c>
      <c r="E576">
        <v>315</v>
      </c>
      <c r="H576" t="s">
        <v>1540</v>
      </c>
      <c r="I576" s="2">
        <f>802+6408+1564</f>
        <v>8774</v>
      </c>
      <c r="J576" s="2">
        <v>0</v>
      </c>
      <c r="K576" s="2" t="s">
        <v>850</v>
      </c>
      <c r="L576" s="43" t="s">
        <v>5882</v>
      </c>
      <c r="P576" s="41">
        <v>11</v>
      </c>
      <c r="Q576" s="41">
        <v>11</v>
      </c>
      <c r="R576" s="41">
        <v>54</v>
      </c>
      <c r="S576" t="s">
        <v>4669</v>
      </c>
      <c r="AH576" t="s">
        <v>359</v>
      </c>
    </row>
    <row r="577" spans="1:34" ht="15.75">
      <c r="A577" s="29">
        <f t="shared" si="8"/>
        <v>172</v>
      </c>
      <c r="B577" s="6">
        <v>961</v>
      </c>
      <c r="C577">
        <v>5</v>
      </c>
      <c r="D577" s="2">
        <v>1817</v>
      </c>
      <c r="E577">
        <v>316</v>
      </c>
      <c r="H577" t="s">
        <v>1540</v>
      </c>
      <c r="I577" s="2">
        <v>172</v>
      </c>
      <c r="J577" s="2">
        <v>0</v>
      </c>
      <c r="K577" s="2" t="s">
        <v>850</v>
      </c>
      <c r="L577" s="43" t="s">
        <v>5883</v>
      </c>
      <c r="P577" s="41">
        <v>30</v>
      </c>
      <c r="Q577" s="41">
        <v>6</v>
      </c>
      <c r="R577" s="41">
        <v>59</v>
      </c>
      <c r="S577" t="s">
        <v>4669</v>
      </c>
      <c r="AH577" t="s">
        <v>359</v>
      </c>
    </row>
    <row r="578" spans="1:34" ht="15.75">
      <c r="A578" s="29">
        <f aca="true" t="shared" si="9" ref="A578:A641">I578+J578*20*X578</f>
        <v>165</v>
      </c>
      <c r="B578" s="6">
        <v>961</v>
      </c>
      <c r="C578">
        <v>5</v>
      </c>
      <c r="D578" s="2">
        <v>1817</v>
      </c>
      <c r="E578">
        <v>317</v>
      </c>
      <c r="H578" t="s">
        <v>1541</v>
      </c>
      <c r="I578" s="2">
        <v>165</v>
      </c>
      <c r="J578" s="2">
        <v>0</v>
      </c>
      <c r="K578" s="2" t="s">
        <v>850</v>
      </c>
      <c r="L578" s="43" t="s">
        <v>5884</v>
      </c>
      <c r="P578" s="41">
        <v>30</v>
      </c>
      <c r="Q578" s="41">
        <v>12</v>
      </c>
      <c r="R578" s="41">
        <v>48</v>
      </c>
      <c r="S578" t="s">
        <v>3343</v>
      </c>
      <c r="AH578" t="s">
        <v>359</v>
      </c>
    </row>
    <row r="579" spans="1:34" ht="15.75">
      <c r="A579" s="29">
        <f t="shared" si="9"/>
        <v>597</v>
      </c>
      <c r="B579" s="6">
        <v>961</v>
      </c>
      <c r="C579">
        <v>5</v>
      </c>
      <c r="D579" s="2">
        <v>1817</v>
      </c>
      <c r="E579">
        <v>318</v>
      </c>
      <c r="H579" t="s">
        <v>1541</v>
      </c>
      <c r="I579" s="2">
        <v>597</v>
      </c>
      <c r="J579" s="2">
        <v>0</v>
      </c>
      <c r="K579" s="2" t="s">
        <v>850</v>
      </c>
      <c r="L579" s="43" t="s">
        <v>5885</v>
      </c>
      <c r="P579" s="41">
        <v>26</v>
      </c>
      <c r="Q579" s="41">
        <v>7</v>
      </c>
      <c r="R579" s="41">
        <v>62</v>
      </c>
      <c r="S579" t="s">
        <v>3440</v>
      </c>
      <c r="AH579" t="s">
        <v>359</v>
      </c>
    </row>
    <row r="580" spans="1:34" ht="15.75">
      <c r="A580" s="29">
        <f t="shared" si="9"/>
        <v>83</v>
      </c>
      <c r="B580" s="6">
        <v>961</v>
      </c>
      <c r="C580">
        <v>5</v>
      </c>
      <c r="D580" s="2">
        <v>1817</v>
      </c>
      <c r="E580">
        <v>319</v>
      </c>
      <c r="H580" t="s">
        <v>1541</v>
      </c>
      <c r="I580" s="2">
        <v>83</v>
      </c>
      <c r="J580" s="2">
        <v>0</v>
      </c>
      <c r="K580" s="2" t="s">
        <v>850</v>
      </c>
      <c r="L580" s="43" t="s">
        <v>5886</v>
      </c>
      <c r="P580" s="41">
        <v>17</v>
      </c>
      <c r="Q580" s="41">
        <v>8</v>
      </c>
      <c r="R580" s="41">
        <v>35</v>
      </c>
      <c r="S580" t="s">
        <v>4669</v>
      </c>
      <c r="AH580" t="s">
        <v>359</v>
      </c>
    </row>
    <row r="581" spans="1:34" ht="15.75">
      <c r="A581" s="29">
        <f t="shared" si="9"/>
        <v>4089</v>
      </c>
      <c r="B581" s="6">
        <v>961</v>
      </c>
      <c r="C581">
        <v>5</v>
      </c>
      <c r="D581" s="2">
        <v>1817</v>
      </c>
      <c r="E581">
        <v>320</v>
      </c>
      <c r="H581" t="s">
        <v>1541</v>
      </c>
      <c r="I581" s="2">
        <v>89</v>
      </c>
      <c r="J581" s="2">
        <v>200</v>
      </c>
      <c r="K581" s="2" t="s">
        <v>850</v>
      </c>
      <c r="L581" s="43" t="s">
        <v>5886</v>
      </c>
      <c r="P581" s="41">
        <v>10</v>
      </c>
      <c r="Q581" s="41">
        <v>9</v>
      </c>
      <c r="R581" s="41">
        <v>74</v>
      </c>
      <c r="S581" t="s">
        <v>3440</v>
      </c>
      <c r="X581">
        <v>1</v>
      </c>
      <c r="Y581" t="s">
        <v>4733</v>
      </c>
      <c r="AH581" t="s">
        <v>359</v>
      </c>
    </row>
    <row r="582" spans="1:34" ht="15.75">
      <c r="A582" s="29">
        <f t="shared" si="9"/>
        <v>1779</v>
      </c>
      <c r="B582" s="6">
        <v>961</v>
      </c>
      <c r="C582">
        <v>5</v>
      </c>
      <c r="D582" s="2">
        <v>1817</v>
      </c>
      <c r="E582">
        <v>321</v>
      </c>
      <c r="H582" t="s">
        <v>1540</v>
      </c>
      <c r="I582" s="2">
        <v>1779</v>
      </c>
      <c r="J582" s="2">
        <v>0</v>
      </c>
      <c r="K582" s="2" t="s">
        <v>850</v>
      </c>
      <c r="L582" s="43" t="s">
        <v>5887</v>
      </c>
      <c r="P582" s="41">
        <v>14</v>
      </c>
      <c r="Q582" s="41">
        <v>2</v>
      </c>
      <c r="R582" s="41">
        <v>71</v>
      </c>
      <c r="S582" t="s">
        <v>4669</v>
      </c>
      <c r="AH582" t="s">
        <v>359</v>
      </c>
    </row>
    <row r="583" spans="1:34" ht="15.75">
      <c r="A583" s="29">
        <f t="shared" si="9"/>
        <v>111</v>
      </c>
      <c r="B583" s="6">
        <v>961</v>
      </c>
      <c r="C583">
        <v>5</v>
      </c>
      <c r="D583" s="2">
        <v>1817</v>
      </c>
      <c r="E583">
        <v>322</v>
      </c>
      <c r="H583" t="s">
        <v>1540</v>
      </c>
      <c r="I583" s="2">
        <v>111</v>
      </c>
      <c r="J583" s="2">
        <v>0</v>
      </c>
      <c r="K583" s="2" t="s">
        <v>850</v>
      </c>
      <c r="L583" s="43" t="s">
        <v>5888</v>
      </c>
      <c r="P583" s="41">
        <v>21</v>
      </c>
      <c r="Q583" s="41">
        <v>10</v>
      </c>
      <c r="R583" s="41">
        <v>47</v>
      </c>
      <c r="S583" t="s">
        <v>4669</v>
      </c>
      <c r="AH583" t="s">
        <v>359</v>
      </c>
    </row>
    <row r="584" spans="1:34" ht="15.75">
      <c r="A584" s="29">
        <f t="shared" si="9"/>
        <v>25</v>
      </c>
      <c r="B584" s="6">
        <v>961</v>
      </c>
      <c r="C584">
        <v>5</v>
      </c>
      <c r="D584" s="2">
        <v>1817</v>
      </c>
      <c r="E584">
        <v>323</v>
      </c>
      <c r="H584" t="s">
        <v>1540</v>
      </c>
      <c r="I584" s="2">
        <v>25</v>
      </c>
      <c r="J584" s="2">
        <v>0</v>
      </c>
      <c r="K584" s="2" t="s">
        <v>850</v>
      </c>
      <c r="L584" s="43" t="s">
        <v>5889</v>
      </c>
      <c r="P584" s="41">
        <v>20</v>
      </c>
      <c r="Q584" s="41">
        <v>11</v>
      </c>
      <c r="R584" s="41">
        <v>60</v>
      </c>
      <c r="S584" t="s">
        <v>3440</v>
      </c>
      <c r="AH584" t="s">
        <v>359</v>
      </c>
    </row>
    <row r="585" spans="1:34" ht="15.75">
      <c r="A585" s="29">
        <f t="shared" si="9"/>
        <v>3506</v>
      </c>
      <c r="B585" s="6">
        <v>961</v>
      </c>
      <c r="C585">
        <v>5</v>
      </c>
      <c r="D585" s="2">
        <v>1817</v>
      </c>
      <c r="E585">
        <v>324</v>
      </c>
      <c r="H585" t="s">
        <v>1540</v>
      </c>
      <c r="I585" s="2">
        <f>1406+2100</f>
        <v>3506</v>
      </c>
      <c r="J585" s="2">
        <v>0</v>
      </c>
      <c r="K585" s="2" t="s">
        <v>850</v>
      </c>
      <c r="L585" s="43" t="s">
        <v>5889</v>
      </c>
      <c r="P585" s="41">
        <v>5</v>
      </c>
      <c r="Q585" s="41">
        <v>10</v>
      </c>
      <c r="R585" s="41">
        <v>32</v>
      </c>
      <c r="S585" t="s">
        <v>4669</v>
      </c>
      <c r="AH585" t="s">
        <v>359</v>
      </c>
    </row>
    <row r="586" spans="1:34" ht="15.75">
      <c r="A586" s="29">
        <f t="shared" si="9"/>
        <v>1200</v>
      </c>
      <c r="B586" s="6">
        <v>962</v>
      </c>
      <c r="C586">
        <v>5</v>
      </c>
      <c r="D586" s="2">
        <v>1817</v>
      </c>
      <c r="E586">
        <v>325</v>
      </c>
      <c r="H586" t="s">
        <v>1540</v>
      </c>
      <c r="I586" s="2">
        <v>1200</v>
      </c>
      <c r="J586" s="2">
        <v>0</v>
      </c>
      <c r="K586" s="2" t="s">
        <v>850</v>
      </c>
      <c r="L586" s="43" t="s">
        <v>5897</v>
      </c>
      <c r="P586" s="41">
        <v>7</v>
      </c>
      <c r="Q586" s="41">
        <v>5</v>
      </c>
      <c r="R586" s="41">
        <v>68</v>
      </c>
      <c r="S586" t="s">
        <v>3343</v>
      </c>
      <c r="AH586" t="s">
        <v>359</v>
      </c>
    </row>
    <row r="587" spans="1:34" ht="15.75">
      <c r="A587" s="29">
        <f t="shared" si="9"/>
        <v>47559</v>
      </c>
      <c r="B587" s="10">
        <v>962</v>
      </c>
      <c r="C587">
        <v>5</v>
      </c>
      <c r="D587" s="8">
        <v>1817</v>
      </c>
      <c r="E587">
        <v>326</v>
      </c>
      <c r="F587" s="9"/>
      <c r="G587" s="9"/>
      <c r="H587" s="9" t="s">
        <v>1541</v>
      </c>
      <c r="I587" s="8">
        <v>47559</v>
      </c>
      <c r="J587" s="8">
        <v>0</v>
      </c>
      <c r="K587" s="2" t="s">
        <v>850</v>
      </c>
      <c r="L587" s="43" t="s">
        <v>4734</v>
      </c>
      <c r="M587" s="41" t="s">
        <v>3567</v>
      </c>
      <c r="N587" s="41" t="s">
        <v>1555</v>
      </c>
      <c r="O587" s="41" t="s">
        <v>3568</v>
      </c>
      <c r="P587" s="41">
        <v>19</v>
      </c>
      <c r="Q587" s="41">
        <v>8</v>
      </c>
      <c r="R587" s="41">
        <v>64</v>
      </c>
      <c r="S587" t="s">
        <v>3569</v>
      </c>
      <c r="T587" t="s">
        <v>2765</v>
      </c>
      <c r="V587" t="s">
        <v>3570</v>
      </c>
      <c r="AH587" t="s">
        <v>359</v>
      </c>
    </row>
    <row r="588" spans="1:34" ht="15.75">
      <c r="A588" s="29">
        <f t="shared" si="9"/>
        <v>14762</v>
      </c>
      <c r="B588" s="6">
        <v>962</v>
      </c>
      <c r="C588">
        <v>5</v>
      </c>
      <c r="D588" s="2">
        <v>1817</v>
      </c>
      <c r="E588">
        <v>328</v>
      </c>
      <c r="H588" t="s">
        <v>1541</v>
      </c>
      <c r="I588" s="2">
        <f>11290+2972+500</f>
        <v>14762</v>
      </c>
      <c r="J588" s="2">
        <v>0</v>
      </c>
      <c r="K588" s="2" t="s">
        <v>850</v>
      </c>
      <c r="L588" s="43" t="s">
        <v>5898</v>
      </c>
      <c r="P588" s="41">
        <v>22</v>
      </c>
      <c r="Q588" s="41">
        <v>10</v>
      </c>
      <c r="R588" s="41">
        <v>35</v>
      </c>
      <c r="S588" t="s">
        <v>4669</v>
      </c>
      <c r="AH588" t="s">
        <v>359</v>
      </c>
    </row>
    <row r="589" spans="1:34" ht="15.75">
      <c r="A589" s="29">
        <f t="shared" si="9"/>
        <v>83111</v>
      </c>
      <c r="B589" s="6">
        <v>962</v>
      </c>
      <c r="C589">
        <v>5</v>
      </c>
      <c r="D589" s="2">
        <v>1817</v>
      </c>
      <c r="E589">
        <v>329</v>
      </c>
      <c r="H589" t="s">
        <v>1541</v>
      </c>
      <c r="I589" s="2">
        <v>3111</v>
      </c>
      <c r="J589" s="2">
        <v>4000</v>
      </c>
      <c r="K589" s="2" t="s">
        <v>850</v>
      </c>
      <c r="L589" s="43" t="s">
        <v>3577</v>
      </c>
      <c r="M589" s="41" t="s">
        <v>878</v>
      </c>
      <c r="O589" s="41" t="s">
        <v>3578</v>
      </c>
      <c r="P589" s="41">
        <v>30</v>
      </c>
      <c r="Q589" s="41">
        <v>12</v>
      </c>
      <c r="R589" s="41" t="s">
        <v>1199</v>
      </c>
      <c r="S589" t="s">
        <v>5899</v>
      </c>
      <c r="T589" t="s">
        <v>1274</v>
      </c>
      <c r="V589" t="s">
        <v>3158</v>
      </c>
      <c r="X589">
        <v>1</v>
      </c>
      <c r="Y589" t="s">
        <v>3578</v>
      </c>
      <c r="AH589" t="s">
        <v>359</v>
      </c>
    </row>
    <row r="590" spans="1:34" ht="15.75">
      <c r="A590" s="29">
        <f t="shared" si="9"/>
        <v>770</v>
      </c>
      <c r="B590" s="6">
        <v>962</v>
      </c>
      <c r="C590">
        <v>5</v>
      </c>
      <c r="D590" s="2">
        <v>1817</v>
      </c>
      <c r="E590">
        <v>330</v>
      </c>
      <c r="H590" t="s">
        <v>1541</v>
      </c>
      <c r="I590" s="2">
        <v>770</v>
      </c>
      <c r="J590" s="2">
        <v>0</v>
      </c>
      <c r="K590" s="2" t="s">
        <v>850</v>
      </c>
      <c r="L590" s="43" t="s">
        <v>5900</v>
      </c>
      <c r="P590" s="41">
        <v>14</v>
      </c>
      <c r="Q590" s="41">
        <v>2</v>
      </c>
      <c r="R590" s="41">
        <v>47</v>
      </c>
      <c r="S590" t="s">
        <v>4669</v>
      </c>
      <c r="AH590" t="s">
        <v>359</v>
      </c>
    </row>
    <row r="591" spans="1:34" ht="15.75">
      <c r="A591" s="29">
        <f t="shared" si="9"/>
        <v>2273</v>
      </c>
      <c r="B591" s="6">
        <v>962</v>
      </c>
      <c r="C591">
        <v>5</v>
      </c>
      <c r="D591" s="2">
        <v>1817</v>
      </c>
      <c r="E591">
        <v>331</v>
      </c>
      <c r="H591" t="s">
        <v>1541</v>
      </c>
      <c r="I591" s="2">
        <v>2273</v>
      </c>
      <c r="J591" s="2">
        <v>0</v>
      </c>
      <c r="K591" s="2" t="s">
        <v>850</v>
      </c>
      <c r="L591" s="43" t="s">
        <v>5900</v>
      </c>
      <c r="P591" s="41">
        <v>10</v>
      </c>
      <c r="Q591" s="41">
        <v>9</v>
      </c>
      <c r="R591" s="41">
        <v>38</v>
      </c>
      <c r="S591" t="s">
        <v>1547</v>
      </c>
      <c r="AH591" t="s">
        <v>359</v>
      </c>
    </row>
    <row r="592" spans="1:34" ht="15.75">
      <c r="A592" s="29">
        <f t="shared" si="9"/>
        <v>94</v>
      </c>
      <c r="B592" s="6">
        <v>963</v>
      </c>
      <c r="C592">
        <v>5</v>
      </c>
      <c r="D592" s="2">
        <v>1817</v>
      </c>
      <c r="E592">
        <v>332</v>
      </c>
      <c r="H592" t="s">
        <v>1540</v>
      </c>
      <c r="I592" s="2">
        <v>94</v>
      </c>
      <c r="J592" s="2">
        <v>0</v>
      </c>
      <c r="K592" s="2" t="s">
        <v>850</v>
      </c>
      <c r="L592" s="43" t="s">
        <v>5955</v>
      </c>
      <c r="P592" s="41">
        <v>18</v>
      </c>
      <c r="Q592" s="41">
        <v>2</v>
      </c>
      <c r="R592" s="41">
        <v>72</v>
      </c>
      <c r="AH592" t="s">
        <v>359</v>
      </c>
    </row>
    <row r="593" spans="1:34" ht="15.75">
      <c r="A593" s="29">
        <f t="shared" si="9"/>
        <v>9944</v>
      </c>
      <c r="B593" s="6">
        <v>963</v>
      </c>
      <c r="C593">
        <v>5</v>
      </c>
      <c r="D593" s="2">
        <v>1817</v>
      </c>
      <c r="E593">
        <v>333</v>
      </c>
      <c r="H593" t="s">
        <v>1541</v>
      </c>
      <c r="I593" s="2">
        <v>9944</v>
      </c>
      <c r="J593" s="2">
        <v>0</v>
      </c>
      <c r="K593" s="2" t="s">
        <v>865</v>
      </c>
      <c r="L593" s="43" t="s">
        <v>5956</v>
      </c>
      <c r="P593" s="41">
        <v>12</v>
      </c>
      <c r="Q593" s="41">
        <v>5</v>
      </c>
      <c r="R593" s="41" t="s">
        <v>1547</v>
      </c>
      <c r="AH593" t="s">
        <v>359</v>
      </c>
    </row>
    <row r="594" spans="1:34" ht="15.75">
      <c r="A594" s="29">
        <f t="shared" si="9"/>
        <v>7605</v>
      </c>
      <c r="B594" s="6" t="s">
        <v>4300</v>
      </c>
      <c r="C594">
        <v>5</v>
      </c>
      <c r="D594" s="2">
        <v>1817</v>
      </c>
      <c r="E594">
        <v>334</v>
      </c>
      <c r="H594" t="s">
        <v>1549</v>
      </c>
      <c r="I594" s="2">
        <v>7605</v>
      </c>
      <c r="J594" s="2">
        <v>0</v>
      </c>
      <c r="K594" s="2" t="s">
        <v>865</v>
      </c>
      <c r="L594" s="43" t="s">
        <v>5957</v>
      </c>
      <c r="M594" s="41" t="s">
        <v>5958</v>
      </c>
      <c r="N594" s="41" t="s">
        <v>5959</v>
      </c>
      <c r="O594" s="41" t="s">
        <v>5960</v>
      </c>
      <c r="P594" s="41">
        <v>10</v>
      </c>
      <c r="Q594" s="41">
        <v>4</v>
      </c>
      <c r="R594" s="41">
        <v>74</v>
      </c>
      <c r="V594" t="s">
        <v>2727</v>
      </c>
      <c r="AH594" t="s">
        <v>359</v>
      </c>
    </row>
    <row r="595" spans="1:34" ht="15.75">
      <c r="A595" s="29">
        <f t="shared" si="9"/>
        <v>453</v>
      </c>
      <c r="B595" s="6">
        <v>963</v>
      </c>
      <c r="C595">
        <v>5</v>
      </c>
      <c r="D595" s="2">
        <v>1817</v>
      </c>
      <c r="E595">
        <v>335</v>
      </c>
      <c r="H595" t="s">
        <v>1541</v>
      </c>
      <c r="I595" s="2">
        <v>453</v>
      </c>
      <c r="J595" s="2">
        <v>0</v>
      </c>
      <c r="K595" s="2" t="s">
        <v>865</v>
      </c>
      <c r="L595" s="43" t="s">
        <v>5971</v>
      </c>
      <c r="P595" s="41">
        <v>25</v>
      </c>
      <c r="Q595" s="41">
        <v>8</v>
      </c>
      <c r="R595" s="41">
        <v>55</v>
      </c>
      <c r="AH595" t="s">
        <v>359</v>
      </c>
    </row>
    <row r="596" spans="1:34" ht="15.75">
      <c r="A596" s="29">
        <f t="shared" si="9"/>
        <v>667</v>
      </c>
      <c r="B596" s="6">
        <v>963</v>
      </c>
      <c r="C596">
        <v>5</v>
      </c>
      <c r="D596" s="2">
        <v>1817</v>
      </c>
      <c r="E596">
        <v>336</v>
      </c>
      <c r="H596" t="s">
        <v>1541</v>
      </c>
      <c r="I596" s="2">
        <f>634+33</f>
        <v>667</v>
      </c>
      <c r="J596" s="2">
        <v>0</v>
      </c>
      <c r="K596" s="2" t="s">
        <v>865</v>
      </c>
      <c r="L596" s="43" t="s">
        <v>5971</v>
      </c>
      <c r="P596" s="41">
        <v>1</v>
      </c>
      <c r="Q596" s="41">
        <v>12</v>
      </c>
      <c r="R596" s="41">
        <v>76</v>
      </c>
      <c r="AH596" t="s">
        <v>359</v>
      </c>
    </row>
    <row r="597" spans="1:34" ht="15.75">
      <c r="A597" s="29">
        <f t="shared" si="9"/>
        <v>5676</v>
      </c>
      <c r="B597" s="6">
        <v>963</v>
      </c>
      <c r="C597">
        <v>5</v>
      </c>
      <c r="D597" s="2">
        <v>1817</v>
      </c>
      <c r="E597">
        <v>337</v>
      </c>
      <c r="H597" t="s">
        <v>1541</v>
      </c>
      <c r="I597" s="2">
        <v>5676</v>
      </c>
      <c r="J597" s="2">
        <v>0</v>
      </c>
      <c r="K597" s="2" t="s">
        <v>850</v>
      </c>
      <c r="L597" s="43" t="s">
        <v>5961</v>
      </c>
      <c r="M597" s="41" t="s">
        <v>5962</v>
      </c>
      <c r="N597" s="41" t="s">
        <v>3453</v>
      </c>
      <c r="O597" s="41" t="s">
        <v>5963</v>
      </c>
      <c r="P597" s="41">
        <v>2</v>
      </c>
      <c r="Q597" s="41">
        <v>4</v>
      </c>
      <c r="R597" s="41" t="s">
        <v>1199</v>
      </c>
      <c r="S597" t="s">
        <v>5964</v>
      </c>
      <c r="T597" t="s">
        <v>5965</v>
      </c>
      <c r="V597" t="s">
        <v>5966</v>
      </c>
      <c r="AH597" t="s">
        <v>359</v>
      </c>
    </row>
    <row r="598" spans="1:34" ht="15.75">
      <c r="A598" s="29">
        <f t="shared" si="9"/>
        <v>18477</v>
      </c>
      <c r="B598" s="6" t="s">
        <v>4300</v>
      </c>
      <c r="C598">
        <v>5</v>
      </c>
      <c r="D598" s="2">
        <v>1817</v>
      </c>
      <c r="E598">
        <v>338</v>
      </c>
      <c r="H598" t="s">
        <v>1549</v>
      </c>
      <c r="I598" s="2">
        <v>18477</v>
      </c>
      <c r="J598" s="2">
        <v>0</v>
      </c>
      <c r="K598" s="2" t="s">
        <v>850</v>
      </c>
      <c r="L598" s="43" t="s">
        <v>5967</v>
      </c>
      <c r="M598" s="41" t="s">
        <v>5968</v>
      </c>
      <c r="N598" s="41" t="s">
        <v>5969</v>
      </c>
      <c r="O598" s="41" t="s">
        <v>5970</v>
      </c>
      <c r="P598" s="41">
        <v>16</v>
      </c>
      <c r="Q598" s="41">
        <v>5</v>
      </c>
      <c r="R598" s="41">
        <v>60</v>
      </c>
      <c r="V598" s="4" t="s">
        <v>4301</v>
      </c>
      <c r="AH598" t="s">
        <v>359</v>
      </c>
    </row>
    <row r="599" spans="1:34" ht="15.75">
      <c r="A599" s="29">
        <f t="shared" si="9"/>
        <v>451</v>
      </c>
      <c r="B599" s="6">
        <v>963</v>
      </c>
      <c r="C599">
        <v>5</v>
      </c>
      <c r="D599" s="2">
        <v>1817</v>
      </c>
      <c r="E599">
        <v>339</v>
      </c>
      <c r="H599" t="s">
        <v>1540</v>
      </c>
      <c r="I599" s="2">
        <v>451</v>
      </c>
      <c r="J599" s="2">
        <v>0</v>
      </c>
      <c r="K599" s="2" t="s">
        <v>865</v>
      </c>
      <c r="L599" s="43" t="s">
        <v>5972</v>
      </c>
      <c r="P599" s="41">
        <v>8</v>
      </c>
      <c r="Q599" s="41">
        <v>12</v>
      </c>
      <c r="R599" s="41">
        <v>60</v>
      </c>
      <c r="AH599" t="s">
        <v>359</v>
      </c>
    </row>
    <row r="600" spans="1:34" ht="15.75">
      <c r="A600" s="29">
        <f t="shared" si="9"/>
        <v>923</v>
      </c>
      <c r="B600" s="6" t="s">
        <v>4302</v>
      </c>
      <c r="C600">
        <v>5</v>
      </c>
      <c r="D600" s="2">
        <v>1817</v>
      </c>
      <c r="E600">
        <v>340</v>
      </c>
      <c r="H600" t="s">
        <v>1540</v>
      </c>
      <c r="I600" s="2">
        <v>923</v>
      </c>
      <c r="J600" s="2">
        <v>0</v>
      </c>
      <c r="K600" s="2" t="s">
        <v>865</v>
      </c>
      <c r="L600" s="43" t="s">
        <v>5985</v>
      </c>
      <c r="M600" s="41" t="s">
        <v>5986</v>
      </c>
      <c r="N600" s="41" t="s">
        <v>1398</v>
      </c>
      <c r="O600" s="41" t="s">
        <v>1399</v>
      </c>
      <c r="P600" s="41">
        <v>3</v>
      </c>
      <c r="Q600" s="41">
        <v>4</v>
      </c>
      <c r="R600" s="41">
        <v>50</v>
      </c>
      <c r="V600" t="s">
        <v>3101</v>
      </c>
      <c r="AH600" t="s">
        <v>359</v>
      </c>
    </row>
    <row r="601" spans="1:34" ht="15.75">
      <c r="A601" s="29">
        <f t="shared" si="9"/>
        <v>1713</v>
      </c>
      <c r="B601" s="6">
        <v>964</v>
      </c>
      <c r="C601">
        <v>5</v>
      </c>
      <c r="D601" s="2">
        <v>1817</v>
      </c>
      <c r="E601">
        <v>341</v>
      </c>
      <c r="H601" t="s">
        <v>1540</v>
      </c>
      <c r="I601" s="2">
        <v>1713</v>
      </c>
      <c r="J601" s="2">
        <v>0</v>
      </c>
      <c r="K601" s="2" t="s">
        <v>865</v>
      </c>
      <c r="L601" s="43" t="s">
        <v>1403</v>
      </c>
      <c r="P601" s="41">
        <v>14</v>
      </c>
      <c r="Q601" s="41">
        <v>6</v>
      </c>
      <c r="R601" s="41">
        <v>32</v>
      </c>
      <c r="AH601" t="s">
        <v>359</v>
      </c>
    </row>
    <row r="602" spans="1:34" ht="15.75">
      <c r="A602" s="29">
        <f t="shared" si="9"/>
        <v>27041</v>
      </c>
      <c r="B602" s="6" t="s">
        <v>4302</v>
      </c>
      <c r="C602">
        <v>5</v>
      </c>
      <c r="D602" s="2">
        <v>1817</v>
      </c>
      <c r="E602">
        <v>342</v>
      </c>
      <c r="H602" t="s">
        <v>1540</v>
      </c>
      <c r="I602" s="2">
        <v>2041</v>
      </c>
      <c r="J602" s="2">
        <f>50000/20</f>
        <v>2500</v>
      </c>
      <c r="K602" s="2" t="s">
        <v>865</v>
      </c>
      <c r="L602" s="43" t="s">
        <v>1400</v>
      </c>
      <c r="M602" s="41" t="s">
        <v>1550</v>
      </c>
      <c r="N602" s="41" t="s">
        <v>4303</v>
      </c>
      <c r="O602" s="41" t="s">
        <v>1401</v>
      </c>
      <c r="P602" s="41">
        <v>16</v>
      </c>
      <c r="Q602" s="41">
        <v>2</v>
      </c>
      <c r="R602" s="41">
        <v>63</v>
      </c>
      <c r="S602" t="s">
        <v>1402</v>
      </c>
      <c r="V602" t="s">
        <v>3249</v>
      </c>
      <c r="X602">
        <v>0.5</v>
      </c>
      <c r="Y602" t="s">
        <v>4304</v>
      </c>
      <c r="AH602" t="s">
        <v>359</v>
      </c>
    </row>
    <row r="603" spans="1:34" ht="15.75">
      <c r="A603" s="29">
        <f t="shared" si="9"/>
        <v>0</v>
      </c>
      <c r="B603" s="6">
        <v>964</v>
      </c>
      <c r="C603">
        <v>5</v>
      </c>
      <c r="D603" s="2">
        <v>1817</v>
      </c>
      <c r="E603">
        <v>343</v>
      </c>
      <c r="H603" t="s">
        <v>1541</v>
      </c>
      <c r="I603" s="2">
        <v>0</v>
      </c>
      <c r="J603" s="2">
        <v>0</v>
      </c>
      <c r="K603" s="2" t="s">
        <v>865</v>
      </c>
      <c r="L603" s="43" t="s">
        <v>1409</v>
      </c>
      <c r="M603" s="41" t="s">
        <v>1404</v>
      </c>
      <c r="O603" s="41" t="s">
        <v>1405</v>
      </c>
      <c r="P603" s="41">
        <v>15</v>
      </c>
      <c r="Q603" s="41">
        <v>9</v>
      </c>
      <c r="R603" s="41">
        <v>46</v>
      </c>
      <c r="S603" t="s">
        <v>1406</v>
      </c>
      <c r="T603" t="s">
        <v>1407</v>
      </c>
      <c r="V603" t="s">
        <v>1408</v>
      </c>
      <c r="AH603" t="s">
        <v>359</v>
      </c>
    </row>
    <row r="604" spans="1:34" ht="15.75">
      <c r="A604" s="29">
        <f t="shared" si="9"/>
        <v>440</v>
      </c>
      <c r="B604" s="6">
        <v>964</v>
      </c>
      <c r="C604">
        <v>5</v>
      </c>
      <c r="D604" s="2">
        <v>1817</v>
      </c>
      <c r="E604">
        <v>344</v>
      </c>
      <c r="H604" t="s">
        <v>1540</v>
      </c>
      <c r="I604" s="2">
        <v>440</v>
      </c>
      <c r="J604" s="2">
        <v>0</v>
      </c>
      <c r="K604" s="2" t="s">
        <v>865</v>
      </c>
      <c r="L604" s="43" t="s">
        <v>1410</v>
      </c>
      <c r="P604" s="41">
        <v>29</v>
      </c>
      <c r="Q604" s="41">
        <v>1</v>
      </c>
      <c r="R604" s="41">
        <v>70</v>
      </c>
      <c r="AH604" t="s">
        <v>359</v>
      </c>
    </row>
    <row r="605" spans="1:34" ht="15.75">
      <c r="A605" s="29">
        <f t="shared" si="9"/>
        <v>39738</v>
      </c>
      <c r="B605" s="6" t="s">
        <v>4302</v>
      </c>
      <c r="C605">
        <v>5</v>
      </c>
      <c r="D605" s="2">
        <v>1817</v>
      </c>
      <c r="E605">
        <v>345</v>
      </c>
      <c r="H605" t="s">
        <v>1541</v>
      </c>
      <c r="I605" s="2">
        <v>39738</v>
      </c>
      <c r="J605" s="2">
        <v>0</v>
      </c>
      <c r="K605" s="2" t="s">
        <v>865</v>
      </c>
      <c r="L605" s="43" t="s">
        <v>4305</v>
      </c>
      <c r="M605" s="41" t="s">
        <v>1411</v>
      </c>
      <c r="O605" s="41" t="s">
        <v>1412</v>
      </c>
      <c r="P605" s="41">
        <v>2</v>
      </c>
      <c r="Q605" s="41">
        <v>4</v>
      </c>
      <c r="R605" s="41">
        <v>77</v>
      </c>
      <c r="S605" t="s">
        <v>4306</v>
      </c>
      <c r="V605" t="s">
        <v>1278</v>
      </c>
      <c r="AH605" t="s">
        <v>359</v>
      </c>
    </row>
    <row r="606" spans="1:34" ht="15.75">
      <c r="A606" s="29">
        <f t="shared" si="9"/>
        <v>77</v>
      </c>
      <c r="B606" s="6">
        <v>964</v>
      </c>
      <c r="C606">
        <v>5</v>
      </c>
      <c r="D606" s="2">
        <v>1817</v>
      </c>
      <c r="E606">
        <v>346</v>
      </c>
      <c r="H606" t="s">
        <v>1541</v>
      </c>
      <c r="I606" s="2">
        <v>77</v>
      </c>
      <c r="J606" s="2">
        <v>0</v>
      </c>
      <c r="K606" s="2" t="s">
        <v>865</v>
      </c>
      <c r="L606" s="43" t="s">
        <v>1420</v>
      </c>
      <c r="P606" s="41">
        <v>29</v>
      </c>
      <c r="Q606" s="41">
        <v>7</v>
      </c>
      <c r="R606" s="41">
        <v>30</v>
      </c>
      <c r="AH606" t="s">
        <v>359</v>
      </c>
    </row>
    <row r="607" spans="1:34" ht="15.75">
      <c r="A607" s="29">
        <f t="shared" si="9"/>
        <v>102</v>
      </c>
      <c r="B607" s="6">
        <v>964</v>
      </c>
      <c r="C607">
        <v>5</v>
      </c>
      <c r="D607" s="2">
        <v>1817</v>
      </c>
      <c r="E607">
        <v>347</v>
      </c>
      <c r="H607" t="s">
        <v>1541</v>
      </c>
      <c r="I607" s="2">
        <v>102</v>
      </c>
      <c r="J607" s="2">
        <v>0</v>
      </c>
      <c r="K607" s="2" t="s">
        <v>865</v>
      </c>
      <c r="L607" s="43" t="s">
        <v>1420</v>
      </c>
      <c r="P607" s="41">
        <v>15</v>
      </c>
      <c r="Q607" s="41">
        <v>5</v>
      </c>
      <c r="R607" s="41">
        <v>28</v>
      </c>
      <c r="AH607" t="s">
        <v>359</v>
      </c>
    </row>
    <row r="608" spans="1:34" ht="15.75">
      <c r="A608" s="29">
        <f t="shared" si="9"/>
        <v>118</v>
      </c>
      <c r="B608" s="6">
        <v>964</v>
      </c>
      <c r="C608">
        <v>5</v>
      </c>
      <c r="D608" s="2">
        <v>1817</v>
      </c>
      <c r="E608">
        <v>348</v>
      </c>
      <c r="H608" t="s">
        <v>1541</v>
      </c>
      <c r="I608" s="2">
        <v>118</v>
      </c>
      <c r="J608" s="2">
        <v>0</v>
      </c>
      <c r="K608" s="2" t="s">
        <v>865</v>
      </c>
      <c r="L608" s="43" t="s">
        <v>1420</v>
      </c>
      <c r="P608" s="41">
        <v>4</v>
      </c>
      <c r="Q608" s="41">
        <v>9</v>
      </c>
      <c r="R608" s="41">
        <v>54</v>
      </c>
      <c r="AH608" t="s">
        <v>359</v>
      </c>
    </row>
    <row r="609" spans="1:34" ht="15.75">
      <c r="A609" s="29">
        <f t="shared" si="9"/>
        <v>931</v>
      </c>
      <c r="B609" s="6">
        <v>964</v>
      </c>
      <c r="C609">
        <v>5</v>
      </c>
      <c r="D609" s="2">
        <v>1817</v>
      </c>
      <c r="E609">
        <v>349</v>
      </c>
      <c r="H609" t="s">
        <v>1541</v>
      </c>
      <c r="I609" s="2">
        <v>931</v>
      </c>
      <c r="J609" s="2">
        <v>0</v>
      </c>
      <c r="K609" s="2" t="s">
        <v>865</v>
      </c>
      <c r="L609" s="43" t="s">
        <v>1420</v>
      </c>
      <c r="P609" s="41">
        <v>28</v>
      </c>
      <c r="Q609" s="41">
        <v>9</v>
      </c>
      <c r="R609" s="41">
        <v>69</v>
      </c>
      <c r="AH609" t="s">
        <v>359</v>
      </c>
    </row>
    <row r="610" spans="1:34" ht="15.75">
      <c r="A610" s="29">
        <f t="shared" si="9"/>
        <v>28993</v>
      </c>
      <c r="B610" s="6">
        <v>964</v>
      </c>
      <c r="C610">
        <v>5</v>
      </c>
      <c r="D610" s="2">
        <v>1817</v>
      </c>
      <c r="E610">
        <v>350</v>
      </c>
      <c r="H610" t="s">
        <v>1540</v>
      </c>
      <c r="I610" s="2">
        <v>12433</v>
      </c>
      <c r="J610" s="2">
        <v>828</v>
      </c>
      <c r="K610" s="2" t="s">
        <v>865</v>
      </c>
      <c r="L610" s="43" t="s">
        <v>1415</v>
      </c>
      <c r="M610" s="41" t="s">
        <v>5316</v>
      </c>
      <c r="N610" s="41" t="s">
        <v>1416</v>
      </c>
      <c r="P610" s="41">
        <v>1</v>
      </c>
      <c r="Q610" s="41">
        <v>2</v>
      </c>
      <c r="R610" s="41">
        <v>53</v>
      </c>
      <c r="S610" t="s">
        <v>1417</v>
      </c>
      <c r="T610" t="s">
        <v>1418</v>
      </c>
      <c r="W610" t="s">
        <v>1419</v>
      </c>
      <c r="X610">
        <v>1</v>
      </c>
      <c r="Y610" t="s">
        <v>1414</v>
      </c>
      <c r="AH610" t="s">
        <v>359</v>
      </c>
    </row>
    <row r="611" spans="1:34" ht="15.75">
      <c r="A611" s="29">
        <f t="shared" si="9"/>
        <v>185</v>
      </c>
      <c r="B611" s="6">
        <v>964</v>
      </c>
      <c r="C611">
        <v>5</v>
      </c>
      <c r="D611" s="2">
        <v>1817</v>
      </c>
      <c r="E611">
        <v>351</v>
      </c>
      <c r="H611" t="s">
        <v>1541</v>
      </c>
      <c r="I611" s="2">
        <v>185</v>
      </c>
      <c r="J611" s="2">
        <v>0</v>
      </c>
      <c r="K611" s="2" t="s">
        <v>865</v>
      </c>
      <c r="L611" s="43" t="s">
        <v>1423</v>
      </c>
      <c r="P611" s="41">
        <v>8</v>
      </c>
      <c r="Q611" s="41">
        <v>12</v>
      </c>
      <c r="R611" s="41">
        <v>47</v>
      </c>
      <c r="AH611" t="s">
        <v>359</v>
      </c>
    </row>
    <row r="612" spans="1:34" ht="15.75">
      <c r="A612" s="29">
        <f t="shared" si="9"/>
        <v>128</v>
      </c>
      <c r="B612" s="6">
        <v>964</v>
      </c>
      <c r="C612">
        <v>5</v>
      </c>
      <c r="D612" s="2">
        <v>1817</v>
      </c>
      <c r="E612">
        <v>352</v>
      </c>
      <c r="H612" t="s">
        <v>1540</v>
      </c>
      <c r="I612" s="2">
        <v>128</v>
      </c>
      <c r="J612" s="2">
        <v>0</v>
      </c>
      <c r="K612" s="2" t="s">
        <v>865</v>
      </c>
      <c r="L612" s="43" t="s">
        <v>1424</v>
      </c>
      <c r="P612" s="41">
        <v>28</v>
      </c>
      <c r="Q612" s="41">
        <v>2</v>
      </c>
      <c r="R612" s="41">
        <v>65</v>
      </c>
      <c r="AH612" t="s">
        <v>359</v>
      </c>
    </row>
    <row r="613" spans="1:34" ht="15.75">
      <c r="A613" s="29">
        <f t="shared" si="9"/>
        <v>244</v>
      </c>
      <c r="B613" s="6">
        <v>964</v>
      </c>
      <c r="C613">
        <v>5</v>
      </c>
      <c r="D613" s="2">
        <v>1817</v>
      </c>
      <c r="E613">
        <v>353</v>
      </c>
      <c r="H613" t="s">
        <v>1540</v>
      </c>
      <c r="I613" s="2">
        <v>244</v>
      </c>
      <c r="J613" s="2">
        <v>0</v>
      </c>
      <c r="K613" s="2" t="s">
        <v>865</v>
      </c>
      <c r="L613" s="43" t="s">
        <v>1424</v>
      </c>
      <c r="P613" s="41">
        <v>10</v>
      </c>
      <c r="Q613" s="41">
        <v>9</v>
      </c>
      <c r="R613" s="41" t="s">
        <v>1547</v>
      </c>
      <c r="AH613" t="s">
        <v>359</v>
      </c>
    </row>
    <row r="614" spans="1:34" ht="15.75">
      <c r="A614" s="29">
        <f t="shared" si="9"/>
        <v>0</v>
      </c>
      <c r="B614" s="6">
        <v>964</v>
      </c>
      <c r="C614">
        <v>5</v>
      </c>
      <c r="D614" s="2">
        <v>1817</v>
      </c>
      <c r="E614">
        <v>354</v>
      </c>
      <c r="H614" s="9" t="s">
        <v>1541</v>
      </c>
      <c r="I614" s="2">
        <v>0</v>
      </c>
      <c r="J614" s="2">
        <v>0</v>
      </c>
      <c r="K614" s="2" t="s">
        <v>865</v>
      </c>
      <c r="L614" s="43" t="s">
        <v>2324</v>
      </c>
      <c r="M614" s="41" t="s">
        <v>3135</v>
      </c>
      <c r="O614" s="41" t="s">
        <v>1425</v>
      </c>
      <c r="P614" s="41">
        <v>18</v>
      </c>
      <c r="Q614" s="41">
        <v>10</v>
      </c>
      <c r="R614" s="41">
        <v>67</v>
      </c>
      <c r="S614" t="s">
        <v>1426</v>
      </c>
      <c r="T614" t="s">
        <v>1427</v>
      </c>
      <c r="V614" t="s">
        <v>1428</v>
      </c>
      <c r="AH614" t="s">
        <v>359</v>
      </c>
    </row>
    <row r="615" spans="1:34" ht="15.75">
      <c r="A615" s="29">
        <f t="shared" si="9"/>
        <v>75</v>
      </c>
      <c r="B615" s="6" t="s">
        <v>4307</v>
      </c>
      <c r="C615">
        <v>5</v>
      </c>
      <c r="D615" s="2">
        <v>1817</v>
      </c>
      <c r="E615">
        <v>355</v>
      </c>
      <c r="H615" t="s">
        <v>1541</v>
      </c>
      <c r="I615" s="2">
        <v>75</v>
      </c>
      <c r="J615" s="2">
        <v>0</v>
      </c>
      <c r="K615" s="2" t="s">
        <v>865</v>
      </c>
      <c r="L615" s="43" t="s">
        <v>5901</v>
      </c>
      <c r="M615" s="41" t="s">
        <v>3135</v>
      </c>
      <c r="N615" s="41" t="s">
        <v>3453</v>
      </c>
      <c r="O615" s="41" t="s">
        <v>1430</v>
      </c>
      <c r="P615" s="41">
        <v>28</v>
      </c>
      <c r="Q615" s="41">
        <v>3</v>
      </c>
      <c r="R615" s="41">
        <v>83</v>
      </c>
      <c r="S615" t="s">
        <v>1722</v>
      </c>
      <c r="T615" t="s">
        <v>3063</v>
      </c>
      <c r="V615" t="s">
        <v>3475</v>
      </c>
      <c r="AH615" t="s">
        <v>359</v>
      </c>
    </row>
    <row r="616" spans="1:34" ht="15.75">
      <c r="A616" s="29">
        <f t="shared" si="9"/>
        <v>698</v>
      </c>
      <c r="B616" s="6" t="s">
        <v>4307</v>
      </c>
      <c r="C616">
        <v>5</v>
      </c>
      <c r="D616" s="2">
        <v>1817</v>
      </c>
      <c r="E616">
        <v>356</v>
      </c>
      <c r="H616" t="s">
        <v>1540</v>
      </c>
      <c r="I616" s="2">
        <v>698</v>
      </c>
      <c r="J616" s="2">
        <v>0</v>
      </c>
      <c r="K616" s="2" t="s">
        <v>865</v>
      </c>
      <c r="L616" s="43" t="s">
        <v>5901</v>
      </c>
      <c r="M616" s="41" t="s">
        <v>1431</v>
      </c>
      <c r="N616" s="41" t="s">
        <v>1432</v>
      </c>
      <c r="O616" s="41" t="s">
        <v>1433</v>
      </c>
      <c r="P616" s="41">
        <v>11</v>
      </c>
      <c r="Q616" s="41">
        <v>9</v>
      </c>
      <c r="R616" s="41">
        <v>57</v>
      </c>
      <c r="S616" t="s">
        <v>1434</v>
      </c>
      <c r="V616" t="s">
        <v>1435</v>
      </c>
      <c r="AH616" t="s">
        <v>359</v>
      </c>
    </row>
    <row r="617" spans="1:34" ht="15.75">
      <c r="A617" s="29">
        <f t="shared" si="9"/>
        <v>39583</v>
      </c>
      <c r="B617" s="6">
        <v>965</v>
      </c>
      <c r="C617">
        <v>5</v>
      </c>
      <c r="D617" s="2">
        <v>1817</v>
      </c>
      <c r="E617">
        <v>357</v>
      </c>
      <c r="H617" t="s">
        <v>1540</v>
      </c>
      <c r="I617" s="2">
        <f>1659+800+37124</f>
        <v>39583</v>
      </c>
      <c r="J617" s="2">
        <v>0</v>
      </c>
      <c r="K617" s="2" t="s">
        <v>865</v>
      </c>
      <c r="L617" s="43" t="s">
        <v>4753</v>
      </c>
      <c r="M617" s="41" t="s">
        <v>1543</v>
      </c>
      <c r="N617" s="41" t="s">
        <v>3144</v>
      </c>
      <c r="O617" s="41" t="s">
        <v>4754</v>
      </c>
      <c r="P617" s="41">
        <v>7</v>
      </c>
      <c r="Q617" s="41">
        <v>12</v>
      </c>
      <c r="R617" s="41">
        <v>82</v>
      </c>
      <c r="S617" t="s">
        <v>1266</v>
      </c>
      <c r="T617" t="s">
        <v>2974</v>
      </c>
      <c r="V617" t="s">
        <v>2775</v>
      </c>
      <c r="AH617" t="s">
        <v>359</v>
      </c>
    </row>
    <row r="618" spans="1:34" ht="15.75">
      <c r="A618" s="29">
        <f t="shared" si="9"/>
        <v>7909</v>
      </c>
      <c r="B618" s="6">
        <v>965</v>
      </c>
      <c r="C618">
        <v>5</v>
      </c>
      <c r="D618" s="2">
        <v>1817</v>
      </c>
      <c r="E618">
        <v>358</v>
      </c>
      <c r="H618" t="s">
        <v>1540</v>
      </c>
      <c r="I618" s="2">
        <v>3159</v>
      </c>
      <c r="J618" s="2">
        <v>475</v>
      </c>
      <c r="K618" s="2" t="s">
        <v>865</v>
      </c>
      <c r="L618" s="43" t="s">
        <v>3427</v>
      </c>
      <c r="M618" s="41" t="s">
        <v>3428</v>
      </c>
      <c r="N618" s="41" t="s">
        <v>3429</v>
      </c>
      <c r="O618" s="41" t="s">
        <v>3430</v>
      </c>
      <c r="P618" s="41">
        <v>21</v>
      </c>
      <c r="Q618" s="41">
        <v>3</v>
      </c>
      <c r="R618" s="41">
        <v>62</v>
      </c>
      <c r="S618" s="11" t="s">
        <v>3431</v>
      </c>
      <c r="T618" s="11" t="s">
        <v>3432</v>
      </c>
      <c r="U618" s="11"/>
      <c r="V618" s="11" t="s">
        <v>3157</v>
      </c>
      <c r="W618" s="11"/>
      <c r="X618">
        <v>0.5</v>
      </c>
      <c r="Y618" t="s">
        <v>4755</v>
      </c>
      <c r="AH618" t="s">
        <v>359</v>
      </c>
    </row>
    <row r="619" spans="1:34" ht="15.75">
      <c r="A619" s="29">
        <f t="shared" si="9"/>
        <v>157</v>
      </c>
      <c r="B619" s="6">
        <v>965</v>
      </c>
      <c r="C619">
        <v>5</v>
      </c>
      <c r="D619" s="2">
        <v>1817</v>
      </c>
      <c r="E619">
        <v>359</v>
      </c>
      <c r="H619" t="s">
        <v>1540</v>
      </c>
      <c r="I619" s="2">
        <f>85+72</f>
        <v>157</v>
      </c>
      <c r="J619" s="2">
        <v>0</v>
      </c>
      <c r="K619" s="2" t="s">
        <v>865</v>
      </c>
      <c r="L619" s="43" t="s">
        <v>1438</v>
      </c>
      <c r="P619" s="41">
        <v>13</v>
      </c>
      <c r="Q619" s="41">
        <v>10</v>
      </c>
      <c r="R619" s="41">
        <v>32</v>
      </c>
      <c r="AH619" t="s">
        <v>359</v>
      </c>
    </row>
    <row r="620" spans="1:34" ht="15.75">
      <c r="A620" s="29">
        <f t="shared" si="9"/>
        <v>5679</v>
      </c>
      <c r="B620" s="6">
        <v>965</v>
      </c>
      <c r="C620">
        <v>5</v>
      </c>
      <c r="D620" s="2">
        <v>1817</v>
      </c>
      <c r="E620">
        <v>360</v>
      </c>
      <c r="H620" t="s">
        <v>1541</v>
      </c>
      <c r="I620" s="2">
        <v>2929</v>
      </c>
      <c r="J620" s="2">
        <v>275</v>
      </c>
      <c r="K620" s="2" t="s">
        <v>865</v>
      </c>
      <c r="L620" s="43" t="s">
        <v>3433</v>
      </c>
      <c r="M620" s="41" t="s">
        <v>3434</v>
      </c>
      <c r="O620" s="41" t="s">
        <v>3435</v>
      </c>
      <c r="P620" s="41">
        <v>13</v>
      </c>
      <c r="Q620" s="41">
        <v>2</v>
      </c>
      <c r="R620" s="41">
        <v>63.5</v>
      </c>
      <c r="S620" s="11" t="s">
        <v>3436</v>
      </c>
      <c r="T620" s="11" t="s">
        <v>3437</v>
      </c>
      <c r="U620" s="11"/>
      <c r="V620" s="11" t="s">
        <v>3438</v>
      </c>
      <c r="W620" s="11"/>
      <c r="X620">
        <v>0.5</v>
      </c>
      <c r="Y620" t="s">
        <v>4756</v>
      </c>
      <c r="AH620" t="s">
        <v>359</v>
      </c>
    </row>
    <row r="621" spans="1:34" ht="15.75">
      <c r="A621" s="29">
        <f t="shared" si="9"/>
        <v>24454</v>
      </c>
      <c r="B621" s="10">
        <v>965</v>
      </c>
      <c r="C621">
        <v>5</v>
      </c>
      <c r="D621" s="8">
        <v>1817</v>
      </c>
      <c r="E621">
        <v>361</v>
      </c>
      <c r="F621" s="9"/>
      <c r="G621" s="9"/>
      <c r="H621" s="9" t="s">
        <v>1541</v>
      </c>
      <c r="I621" s="8">
        <v>24454</v>
      </c>
      <c r="J621" s="8">
        <v>0</v>
      </c>
      <c r="K621" s="2" t="s">
        <v>865</v>
      </c>
      <c r="L621" s="43" t="s">
        <v>891</v>
      </c>
      <c r="M621" s="43" t="s">
        <v>892</v>
      </c>
      <c r="N621" s="43"/>
      <c r="O621" s="43" t="s">
        <v>893</v>
      </c>
      <c r="P621" s="43">
        <v>20</v>
      </c>
      <c r="Q621" s="43">
        <v>5</v>
      </c>
      <c r="R621" s="43">
        <v>71</v>
      </c>
      <c r="S621" s="11" t="s">
        <v>894</v>
      </c>
      <c r="T621" s="11" t="s">
        <v>895</v>
      </c>
      <c r="U621" s="11"/>
      <c r="V621" s="11" t="s">
        <v>3151</v>
      </c>
      <c r="W621" s="11"/>
      <c r="AH621" t="s">
        <v>359</v>
      </c>
    </row>
    <row r="622" spans="1:34" ht="15.75">
      <c r="A622" s="29">
        <f t="shared" si="9"/>
        <v>32932</v>
      </c>
      <c r="B622" s="6">
        <v>965</v>
      </c>
      <c r="C622">
        <v>5</v>
      </c>
      <c r="D622" s="2">
        <v>1817</v>
      </c>
      <c r="E622">
        <v>362</v>
      </c>
      <c r="H622" t="s">
        <v>1540</v>
      </c>
      <c r="I622" s="2">
        <v>32932</v>
      </c>
      <c r="J622" s="2">
        <v>0</v>
      </c>
      <c r="K622" s="2" t="s">
        <v>865</v>
      </c>
      <c r="L622" s="43" t="s">
        <v>4757</v>
      </c>
      <c r="M622" s="41" t="s">
        <v>4758</v>
      </c>
      <c r="N622" s="41" t="s">
        <v>4759</v>
      </c>
      <c r="O622" s="41" t="s">
        <v>4760</v>
      </c>
      <c r="P622" s="41">
        <v>26</v>
      </c>
      <c r="Q622" s="41">
        <v>7</v>
      </c>
      <c r="R622" s="41">
        <v>20</v>
      </c>
      <c r="S622" t="s">
        <v>3343</v>
      </c>
      <c r="T622" t="s">
        <v>2765</v>
      </c>
      <c r="V622" t="s">
        <v>3151</v>
      </c>
      <c r="AH622" t="s">
        <v>359</v>
      </c>
    </row>
    <row r="623" spans="1:34" ht="15.75">
      <c r="A623" s="29">
        <f t="shared" si="9"/>
        <v>45</v>
      </c>
      <c r="B623" s="6">
        <v>965</v>
      </c>
      <c r="C623">
        <v>5</v>
      </c>
      <c r="D623" s="2">
        <v>1817</v>
      </c>
      <c r="E623">
        <v>363</v>
      </c>
      <c r="H623" t="s">
        <v>1540</v>
      </c>
      <c r="I623" s="2">
        <v>45</v>
      </c>
      <c r="J623" s="2">
        <v>0</v>
      </c>
      <c r="K623" s="2" t="s">
        <v>865</v>
      </c>
      <c r="L623" s="43" t="s">
        <v>1440</v>
      </c>
      <c r="P623" s="41">
        <v>8</v>
      </c>
      <c r="Q623" s="41">
        <v>8</v>
      </c>
      <c r="R623" s="41">
        <v>82</v>
      </c>
      <c r="AH623" t="s">
        <v>359</v>
      </c>
    </row>
    <row r="624" spans="1:34" ht="15.75">
      <c r="A624" s="29">
        <f t="shared" si="9"/>
        <v>667</v>
      </c>
      <c r="B624" s="6">
        <v>965</v>
      </c>
      <c r="C624">
        <v>5</v>
      </c>
      <c r="D624" s="2">
        <v>1817</v>
      </c>
      <c r="E624">
        <v>364</v>
      </c>
      <c r="H624" t="s">
        <v>1540</v>
      </c>
      <c r="I624" s="2">
        <v>667</v>
      </c>
      <c r="J624" s="2">
        <v>0</v>
      </c>
      <c r="K624" s="2" t="s">
        <v>865</v>
      </c>
      <c r="L624" s="43" t="s">
        <v>1440</v>
      </c>
      <c r="P624" s="43">
        <v>5</v>
      </c>
      <c r="Q624" s="43">
        <v>11</v>
      </c>
      <c r="R624" s="41" t="s">
        <v>1199</v>
      </c>
      <c r="AH624" t="s">
        <v>359</v>
      </c>
    </row>
    <row r="625" spans="1:34" ht="15.75">
      <c r="A625" s="29">
        <f t="shared" si="9"/>
        <v>1505</v>
      </c>
      <c r="B625" s="6">
        <v>965</v>
      </c>
      <c r="C625">
        <v>5</v>
      </c>
      <c r="D625" s="2">
        <v>1817</v>
      </c>
      <c r="E625">
        <v>365</v>
      </c>
      <c r="H625" t="s">
        <v>1540</v>
      </c>
      <c r="I625" s="2">
        <v>1505</v>
      </c>
      <c r="J625" s="2">
        <v>0</v>
      </c>
      <c r="K625" s="2" t="s">
        <v>865</v>
      </c>
      <c r="L625" s="43" t="s">
        <v>1440</v>
      </c>
      <c r="P625" s="43">
        <v>26</v>
      </c>
      <c r="Q625" s="43">
        <v>5</v>
      </c>
      <c r="R625" s="43">
        <v>85</v>
      </c>
      <c r="AH625" t="s">
        <v>359</v>
      </c>
    </row>
    <row r="626" spans="1:34" ht="15.75">
      <c r="A626" s="29">
        <f t="shared" si="9"/>
        <v>4218</v>
      </c>
      <c r="B626" s="6">
        <v>965</v>
      </c>
      <c r="C626">
        <v>5</v>
      </c>
      <c r="D626" s="2">
        <v>1817</v>
      </c>
      <c r="E626">
        <v>366</v>
      </c>
      <c r="H626" t="s">
        <v>1540</v>
      </c>
      <c r="I626" s="2">
        <v>4218</v>
      </c>
      <c r="J626" s="2">
        <v>0</v>
      </c>
      <c r="K626" s="2" t="s">
        <v>865</v>
      </c>
      <c r="L626" s="43" t="s">
        <v>1440</v>
      </c>
      <c r="P626" s="43">
        <v>23</v>
      </c>
      <c r="Q626" s="43">
        <v>1</v>
      </c>
      <c r="R626" s="43">
        <v>64</v>
      </c>
      <c r="AH626" t="s">
        <v>359</v>
      </c>
    </row>
    <row r="627" spans="1:34" ht="15.75">
      <c r="A627" s="29">
        <f t="shared" si="9"/>
        <v>500</v>
      </c>
      <c r="B627" s="6">
        <v>965</v>
      </c>
      <c r="C627">
        <v>5</v>
      </c>
      <c r="D627" s="2">
        <v>1817</v>
      </c>
      <c r="E627">
        <v>367</v>
      </c>
      <c r="H627" t="s">
        <v>1541</v>
      </c>
      <c r="I627" s="2">
        <v>0</v>
      </c>
      <c r="J627" s="2">
        <f>100+150</f>
        <v>250</v>
      </c>
      <c r="K627" s="2" t="s">
        <v>865</v>
      </c>
      <c r="L627" s="43" t="s">
        <v>3421</v>
      </c>
      <c r="M627" s="41" t="s">
        <v>1553</v>
      </c>
      <c r="O627" s="41" t="s">
        <v>1439</v>
      </c>
      <c r="P627" s="43">
        <v>26</v>
      </c>
      <c r="Q627" s="43">
        <v>11</v>
      </c>
      <c r="R627" s="41" t="s">
        <v>1199</v>
      </c>
      <c r="U627" s="2" t="s">
        <v>1439</v>
      </c>
      <c r="X627">
        <v>0.1</v>
      </c>
      <c r="Y627" t="s">
        <v>4761</v>
      </c>
      <c r="AH627" t="s">
        <v>359</v>
      </c>
    </row>
    <row r="628" spans="1:34" ht="15.75">
      <c r="A628" s="29">
        <f t="shared" si="9"/>
        <v>16547</v>
      </c>
      <c r="B628" s="10">
        <v>965</v>
      </c>
      <c r="C628">
        <v>5</v>
      </c>
      <c r="D628" s="8">
        <v>1817</v>
      </c>
      <c r="E628">
        <v>368</v>
      </c>
      <c r="F628" s="9"/>
      <c r="G628" s="9"/>
      <c r="H628" s="9" t="s">
        <v>1541</v>
      </c>
      <c r="I628" s="8">
        <v>3187</v>
      </c>
      <c r="J628" s="8">
        <v>668</v>
      </c>
      <c r="K628" s="2" t="s">
        <v>865</v>
      </c>
      <c r="L628" s="43" t="s">
        <v>3421</v>
      </c>
      <c r="M628" s="43" t="s">
        <v>3422</v>
      </c>
      <c r="N628" s="43" t="s">
        <v>898</v>
      </c>
      <c r="O628" s="43" t="s">
        <v>3423</v>
      </c>
      <c r="P628" s="43">
        <v>9</v>
      </c>
      <c r="Q628" s="43">
        <v>4</v>
      </c>
      <c r="R628" s="43">
        <v>78</v>
      </c>
      <c r="S628" s="12" t="s">
        <v>3424</v>
      </c>
      <c r="T628" s="12" t="s">
        <v>3425</v>
      </c>
      <c r="U628" s="12"/>
      <c r="V628" s="12" t="s">
        <v>3426</v>
      </c>
      <c r="W628" s="12"/>
      <c r="X628" s="9">
        <v>1</v>
      </c>
      <c r="Y628" s="9" t="s">
        <v>3124</v>
      </c>
      <c r="Z628" s="9"/>
      <c r="AA628" s="9"/>
      <c r="AB628" s="9"/>
      <c r="AC628" s="9"/>
      <c r="AD628" s="9"/>
      <c r="AE628" s="9"/>
      <c r="AF628" s="9"/>
      <c r="AG628" s="9"/>
      <c r="AH628" t="s">
        <v>359</v>
      </c>
    </row>
    <row r="629" spans="1:34" ht="15.75">
      <c r="A629" s="29">
        <f t="shared" si="9"/>
        <v>12100</v>
      </c>
      <c r="B629" s="6" t="s">
        <v>4307</v>
      </c>
      <c r="C629">
        <v>5</v>
      </c>
      <c r="D629" s="2">
        <v>1817</v>
      </c>
      <c r="E629">
        <v>369</v>
      </c>
      <c r="H629" t="s">
        <v>1541</v>
      </c>
      <c r="I629" s="2">
        <f>233+3433</f>
        <v>3666</v>
      </c>
      <c r="J629" s="2">
        <f>16868/20</f>
        <v>843.4</v>
      </c>
      <c r="K629" s="2" t="s">
        <v>865</v>
      </c>
      <c r="L629" s="43" t="s">
        <v>1441</v>
      </c>
      <c r="M629" s="41" t="s">
        <v>3581</v>
      </c>
      <c r="O629" s="41" t="s">
        <v>1442</v>
      </c>
      <c r="P629" s="43">
        <v>7</v>
      </c>
      <c r="Q629" s="43">
        <v>2</v>
      </c>
      <c r="R629" s="41">
        <v>45</v>
      </c>
      <c r="S629" t="s">
        <v>1443</v>
      </c>
      <c r="V629" t="s">
        <v>3426</v>
      </c>
      <c r="X629">
        <v>0.5</v>
      </c>
      <c r="Y629" t="s">
        <v>4308</v>
      </c>
      <c r="AH629" t="s">
        <v>359</v>
      </c>
    </row>
    <row r="630" spans="1:34" ht="15.75">
      <c r="A630" s="29">
        <f t="shared" si="9"/>
        <v>2714</v>
      </c>
      <c r="B630" s="6" t="s">
        <v>4309</v>
      </c>
      <c r="C630">
        <v>5</v>
      </c>
      <c r="D630" s="2">
        <v>1817</v>
      </c>
      <c r="E630">
        <v>370</v>
      </c>
      <c r="H630" t="s">
        <v>1540</v>
      </c>
      <c r="I630" s="2">
        <v>2714</v>
      </c>
      <c r="J630" s="2">
        <v>0</v>
      </c>
      <c r="K630" s="2" t="s">
        <v>865</v>
      </c>
      <c r="L630" s="43" t="s">
        <v>5974</v>
      </c>
      <c r="M630" s="41" t="s">
        <v>5975</v>
      </c>
      <c r="N630" s="41" t="s">
        <v>3453</v>
      </c>
      <c r="O630" s="41" t="s">
        <v>5976</v>
      </c>
      <c r="P630" s="41">
        <v>13</v>
      </c>
      <c r="Q630" s="41">
        <v>2</v>
      </c>
      <c r="R630" s="41">
        <v>66</v>
      </c>
      <c r="S630" t="s">
        <v>5977</v>
      </c>
      <c r="T630" t="s">
        <v>5978</v>
      </c>
      <c r="V630" t="s">
        <v>5979</v>
      </c>
      <c r="AH630" t="s">
        <v>359</v>
      </c>
    </row>
    <row r="631" spans="1:34" ht="15.75">
      <c r="A631" s="29">
        <f t="shared" si="9"/>
        <v>55</v>
      </c>
      <c r="B631" s="6">
        <v>966</v>
      </c>
      <c r="C631">
        <v>5</v>
      </c>
      <c r="D631" s="2">
        <v>1817</v>
      </c>
      <c r="E631">
        <v>371</v>
      </c>
      <c r="H631" t="s">
        <v>1541</v>
      </c>
      <c r="I631" s="2">
        <v>55</v>
      </c>
      <c r="J631" s="2">
        <v>0</v>
      </c>
      <c r="K631" s="2" t="s">
        <v>865</v>
      </c>
      <c r="L631" s="43" t="s">
        <v>5981</v>
      </c>
      <c r="P631" s="41">
        <v>27</v>
      </c>
      <c r="Q631" s="41">
        <v>2</v>
      </c>
      <c r="R631" s="41">
        <v>59</v>
      </c>
      <c r="AH631" t="s">
        <v>359</v>
      </c>
    </row>
    <row r="632" spans="1:34" ht="15.75">
      <c r="A632" s="29">
        <f t="shared" si="9"/>
        <v>566</v>
      </c>
      <c r="B632" s="6">
        <v>966</v>
      </c>
      <c r="C632">
        <v>5</v>
      </c>
      <c r="D632" s="2">
        <v>1817</v>
      </c>
      <c r="E632">
        <v>372</v>
      </c>
      <c r="H632" t="s">
        <v>1540</v>
      </c>
      <c r="I632" s="2">
        <v>566</v>
      </c>
      <c r="J632" s="2">
        <v>0</v>
      </c>
      <c r="K632" s="2" t="s">
        <v>865</v>
      </c>
      <c r="L632" s="43" t="s">
        <v>5981</v>
      </c>
      <c r="P632" s="41">
        <v>1</v>
      </c>
      <c r="Q632" s="41">
        <v>1</v>
      </c>
      <c r="R632" s="41">
        <v>44</v>
      </c>
      <c r="AH632" t="s">
        <v>359</v>
      </c>
    </row>
    <row r="633" spans="1:34" ht="15.75">
      <c r="A633" s="29">
        <f t="shared" si="9"/>
        <v>4438</v>
      </c>
      <c r="B633" s="6">
        <v>966</v>
      </c>
      <c r="C633">
        <v>5</v>
      </c>
      <c r="D633" s="2">
        <v>1817</v>
      </c>
      <c r="E633">
        <v>373</v>
      </c>
      <c r="H633" t="s">
        <v>1540</v>
      </c>
      <c r="I633" s="2">
        <v>4438</v>
      </c>
      <c r="J633" s="2">
        <v>0</v>
      </c>
      <c r="K633" s="2" t="s">
        <v>865</v>
      </c>
      <c r="L633" s="43" t="s">
        <v>5982</v>
      </c>
      <c r="P633" s="41">
        <v>11</v>
      </c>
      <c r="Q633" s="41">
        <v>9</v>
      </c>
      <c r="R633" s="41" t="s">
        <v>1547</v>
      </c>
      <c r="AH633" t="s">
        <v>359</v>
      </c>
    </row>
    <row r="634" spans="1:34" ht="15.75">
      <c r="A634" s="29">
        <f t="shared" si="9"/>
        <v>934</v>
      </c>
      <c r="B634" s="6">
        <v>966</v>
      </c>
      <c r="C634">
        <v>5</v>
      </c>
      <c r="D634" s="2">
        <v>1817</v>
      </c>
      <c r="E634">
        <v>374</v>
      </c>
      <c r="H634" t="s">
        <v>1540</v>
      </c>
      <c r="I634" s="2">
        <v>934</v>
      </c>
      <c r="J634" s="2">
        <v>0</v>
      </c>
      <c r="K634" s="2" t="s">
        <v>865</v>
      </c>
      <c r="L634" s="43" t="s">
        <v>5983</v>
      </c>
      <c r="P634" s="41">
        <v>27</v>
      </c>
      <c r="Q634" s="41">
        <v>6</v>
      </c>
      <c r="R634" s="41">
        <v>74</v>
      </c>
      <c r="AH634" t="s">
        <v>359</v>
      </c>
    </row>
    <row r="635" spans="1:34" ht="15.75">
      <c r="A635" s="29">
        <f t="shared" si="9"/>
        <v>1406</v>
      </c>
      <c r="B635" s="6">
        <v>966</v>
      </c>
      <c r="C635">
        <v>5</v>
      </c>
      <c r="D635" s="2">
        <v>1817</v>
      </c>
      <c r="E635">
        <v>376</v>
      </c>
      <c r="H635" t="s">
        <v>1540</v>
      </c>
      <c r="I635" s="2">
        <f>1377+29</f>
        <v>1406</v>
      </c>
      <c r="J635" s="2">
        <v>0</v>
      </c>
      <c r="K635" s="2" t="s">
        <v>865</v>
      </c>
      <c r="L635" s="43" t="s">
        <v>5984</v>
      </c>
      <c r="P635" s="41">
        <v>29</v>
      </c>
      <c r="Q635" s="41">
        <v>10</v>
      </c>
      <c r="R635" s="41">
        <v>70</v>
      </c>
      <c r="AH635" t="s">
        <v>359</v>
      </c>
    </row>
    <row r="636" spans="1:34" ht="15.75">
      <c r="A636" s="29">
        <f t="shared" si="9"/>
        <v>33</v>
      </c>
      <c r="B636" s="6">
        <v>967</v>
      </c>
      <c r="C636">
        <v>5</v>
      </c>
      <c r="D636" s="2">
        <v>1817</v>
      </c>
      <c r="E636">
        <v>377</v>
      </c>
      <c r="H636" t="s">
        <v>1540</v>
      </c>
      <c r="I636" s="2">
        <v>33</v>
      </c>
      <c r="J636" s="2">
        <v>0</v>
      </c>
      <c r="K636" s="2" t="s">
        <v>865</v>
      </c>
      <c r="L636" s="43" t="s">
        <v>1444</v>
      </c>
      <c r="P636" s="41">
        <v>2</v>
      </c>
      <c r="Q636" s="41">
        <v>6</v>
      </c>
      <c r="R636" s="41">
        <v>69</v>
      </c>
      <c r="AH636" t="s">
        <v>359</v>
      </c>
    </row>
    <row r="637" spans="1:34" ht="15.75">
      <c r="A637" s="29">
        <f t="shared" si="9"/>
        <v>990</v>
      </c>
      <c r="B637" s="6">
        <v>967</v>
      </c>
      <c r="C637">
        <v>5</v>
      </c>
      <c r="D637" s="2">
        <v>1817</v>
      </c>
      <c r="E637">
        <v>378</v>
      </c>
      <c r="H637" t="s">
        <v>1541</v>
      </c>
      <c r="I637" s="2">
        <v>990</v>
      </c>
      <c r="J637" s="2">
        <v>0</v>
      </c>
      <c r="K637" s="2" t="s">
        <v>865</v>
      </c>
      <c r="L637" s="43" t="s">
        <v>1444</v>
      </c>
      <c r="P637" s="41">
        <v>17</v>
      </c>
      <c r="Q637" s="41">
        <v>6</v>
      </c>
      <c r="R637" s="41" t="s">
        <v>1547</v>
      </c>
      <c r="AH637" t="s">
        <v>359</v>
      </c>
    </row>
    <row r="638" spans="1:34" ht="15.75">
      <c r="A638" s="29">
        <f t="shared" si="9"/>
        <v>614</v>
      </c>
      <c r="B638" s="6">
        <v>967</v>
      </c>
      <c r="C638">
        <v>5</v>
      </c>
      <c r="D638" s="2">
        <v>1817</v>
      </c>
      <c r="E638">
        <v>379</v>
      </c>
      <c r="H638" t="s">
        <v>1540</v>
      </c>
      <c r="I638" s="2">
        <v>614</v>
      </c>
      <c r="J638" s="2">
        <v>0</v>
      </c>
      <c r="K638" s="2" t="s">
        <v>865</v>
      </c>
      <c r="L638" s="43" t="s">
        <v>1445</v>
      </c>
      <c r="P638" s="41">
        <v>23</v>
      </c>
      <c r="Q638" s="41">
        <v>9</v>
      </c>
      <c r="R638" s="41" t="s">
        <v>1547</v>
      </c>
      <c r="AH638" t="s">
        <v>359</v>
      </c>
    </row>
    <row r="639" spans="1:34" ht="15.75">
      <c r="A639" s="29">
        <f t="shared" si="9"/>
        <v>1481</v>
      </c>
      <c r="B639" s="6">
        <v>967</v>
      </c>
      <c r="C639">
        <v>5</v>
      </c>
      <c r="D639" s="2">
        <v>1817</v>
      </c>
      <c r="E639">
        <v>380</v>
      </c>
      <c r="H639" t="s">
        <v>1540</v>
      </c>
      <c r="I639" s="2">
        <v>1481</v>
      </c>
      <c r="J639" s="2">
        <v>0</v>
      </c>
      <c r="K639" s="2" t="s">
        <v>865</v>
      </c>
      <c r="L639" s="43" t="s">
        <v>1446</v>
      </c>
      <c r="P639" s="41">
        <v>24</v>
      </c>
      <c r="Q639" s="41">
        <v>5</v>
      </c>
      <c r="R639" s="41">
        <v>69</v>
      </c>
      <c r="AH639" t="s">
        <v>359</v>
      </c>
    </row>
    <row r="640" spans="1:34" ht="15.75">
      <c r="A640" s="29">
        <f t="shared" si="9"/>
        <v>53</v>
      </c>
      <c r="B640" s="6">
        <v>967</v>
      </c>
      <c r="C640">
        <v>5</v>
      </c>
      <c r="D640" s="2">
        <v>1817</v>
      </c>
      <c r="E640">
        <v>381</v>
      </c>
      <c r="H640" t="s">
        <v>1541</v>
      </c>
      <c r="I640" s="2">
        <v>53</v>
      </c>
      <c r="J640" s="2">
        <v>0</v>
      </c>
      <c r="K640" s="2" t="s">
        <v>865</v>
      </c>
      <c r="L640" s="43" t="s">
        <v>1447</v>
      </c>
      <c r="P640" s="43">
        <v>3</v>
      </c>
      <c r="Q640" s="43">
        <v>6</v>
      </c>
      <c r="R640" s="43">
        <v>66</v>
      </c>
      <c r="AH640" t="s">
        <v>359</v>
      </c>
    </row>
    <row r="641" spans="1:34" ht="15.75">
      <c r="A641" s="29">
        <f t="shared" si="9"/>
        <v>612</v>
      </c>
      <c r="B641" s="6">
        <v>967</v>
      </c>
      <c r="C641">
        <v>5</v>
      </c>
      <c r="D641" s="2">
        <v>1817</v>
      </c>
      <c r="E641">
        <v>382</v>
      </c>
      <c r="H641" t="s">
        <v>1541</v>
      </c>
      <c r="I641" s="2">
        <v>612</v>
      </c>
      <c r="J641" s="2">
        <v>0</v>
      </c>
      <c r="K641" s="2" t="s">
        <v>865</v>
      </c>
      <c r="L641" s="43" t="s">
        <v>1447</v>
      </c>
      <c r="P641" s="43">
        <v>22</v>
      </c>
      <c r="Q641" s="43">
        <v>2</v>
      </c>
      <c r="R641" s="43">
        <v>76</v>
      </c>
      <c r="AH641" t="s">
        <v>359</v>
      </c>
    </row>
    <row r="642" spans="1:34" ht="15.75">
      <c r="A642" s="29">
        <f aca="true" t="shared" si="10" ref="A642:A705">I642+J642*20*X642</f>
        <v>46945</v>
      </c>
      <c r="B642" s="10">
        <v>967</v>
      </c>
      <c r="C642">
        <v>5</v>
      </c>
      <c r="D642" s="8">
        <v>1817</v>
      </c>
      <c r="E642">
        <v>383</v>
      </c>
      <c r="F642" s="9"/>
      <c r="G642" s="9"/>
      <c r="H642" s="9" t="s">
        <v>1540</v>
      </c>
      <c r="I642" s="8">
        <v>20945</v>
      </c>
      <c r="J642" s="8">
        <f>900+400</f>
        <v>1300</v>
      </c>
      <c r="K642" s="2" t="s">
        <v>865</v>
      </c>
      <c r="L642" s="43" t="s">
        <v>4765</v>
      </c>
      <c r="M642" s="43" t="s">
        <v>4766</v>
      </c>
      <c r="N642" s="43" t="s">
        <v>1555</v>
      </c>
      <c r="O642" s="43" t="s">
        <v>4767</v>
      </c>
      <c r="P642" s="43">
        <v>22</v>
      </c>
      <c r="Q642" s="43">
        <v>1</v>
      </c>
      <c r="R642" s="43">
        <v>70</v>
      </c>
      <c r="S642" s="9" t="s">
        <v>4768</v>
      </c>
      <c r="T642" s="9" t="s">
        <v>4769</v>
      </c>
      <c r="U642" s="9"/>
      <c r="V642" s="9" t="s">
        <v>4770</v>
      </c>
      <c r="W642" s="9"/>
      <c r="X642" s="9">
        <v>1</v>
      </c>
      <c r="Y642" t="s">
        <v>4771</v>
      </c>
      <c r="AH642" t="s">
        <v>359</v>
      </c>
    </row>
    <row r="643" spans="1:34" ht="15.75">
      <c r="A643" s="29">
        <f t="shared" si="10"/>
        <v>84</v>
      </c>
      <c r="B643" s="6">
        <v>967</v>
      </c>
      <c r="C643">
        <v>5</v>
      </c>
      <c r="D643" s="2">
        <v>1817</v>
      </c>
      <c r="E643">
        <v>384</v>
      </c>
      <c r="H643" t="s">
        <v>1541</v>
      </c>
      <c r="I643" s="2">
        <v>84</v>
      </c>
      <c r="J643" s="2">
        <v>0</v>
      </c>
      <c r="K643" s="2" t="s">
        <v>865</v>
      </c>
      <c r="L643" s="43" t="s">
        <v>1448</v>
      </c>
      <c r="P643" s="43">
        <v>12</v>
      </c>
      <c r="Q643" s="43">
        <v>1</v>
      </c>
      <c r="R643" s="43">
        <v>64</v>
      </c>
      <c r="AH643" t="s">
        <v>359</v>
      </c>
    </row>
    <row r="644" spans="1:34" ht="15.75">
      <c r="A644" s="29">
        <f t="shared" si="10"/>
        <v>469</v>
      </c>
      <c r="B644" s="6">
        <v>967</v>
      </c>
      <c r="C644">
        <v>5</v>
      </c>
      <c r="D644" s="2">
        <v>1817</v>
      </c>
      <c r="E644">
        <v>385</v>
      </c>
      <c r="H644" t="s">
        <v>1541</v>
      </c>
      <c r="I644" s="2">
        <v>469</v>
      </c>
      <c r="J644" s="2">
        <v>0</v>
      </c>
      <c r="K644" s="2" t="s">
        <v>865</v>
      </c>
      <c r="L644" s="43" t="s">
        <v>1448</v>
      </c>
      <c r="P644" s="43">
        <v>17</v>
      </c>
      <c r="Q644" s="43">
        <v>10</v>
      </c>
      <c r="R644" s="43">
        <v>91</v>
      </c>
      <c r="AH644" t="s">
        <v>359</v>
      </c>
    </row>
    <row r="645" spans="1:34" ht="15.75">
      <c r="A645" s="29">
        <f t="shared" si="10"/>
        <v>388</v>
      </c>
      <c r="B645" s="6">
        <v>967</v>
      </c>
      <c r="C645">
        <v>5</v>
      </c>
      <c r="D645" s="2">
        <v>1817</v>
      </c>
      <c r="E645">
        <v>386</v>
      </c>
      <c r="H645" t="s">
        <v>1541</v>
      </c>
      <c r="I645" s="2">
        <f>191+197</f>
        <v>388</v>
      </c>
      <c r="J645" s="2">
        <v>0</v>
      </c>
      <c r="K645" s="2" t="s">
        <v>865</v>
      </c>
      <c r="L645" s="43" t="s">
        <v>1449</v>
      </c>
      <c r="P645" s="43">
        <v>31</v>
      </c>
      <c r="Q645" s="43">
        <v>3</v>
      </c>
      <c r="R645" s="43">
        <v>58</v>
      </c>
      <c r="AH645" t="s">
        <v>359</v>
      </c>
    </row>
    <row r="646" spans="1:34" ht="15.75">
      <c r="A646" s="29">
        <f t="shared" si="10"/>
        <v>22124</v>
      </c>
      <c r="B646" s="6">
        <v>967</v>
      </c>
      <c r="C646">
        <v>5</v>
      </c>
      <c r="D646" s="2">
        <v>1817</v>
      </c>
      <c r="E646">
        <v>387</v>
      </c>
      <c r="H646" t="s">
        <v>1540</v>
      </c>
      <c r="I646" s="2">
        <v>8814</v>
      </c>
      <c r="J646" s="3">
        <f>476+855</f>
        <v>1331</v>
      </c>
      <c r="K646" s="2" t="s">
        <v>865</v>
      </c>
      <c r="L646" s="43" t="s">
        <v>1450</v>
      </c>
      <c r="M646" s="41" t="s">
        <v>3441</v>
      </c>
      <c r="N646" s="41" t="s">
        <v>4772</v>
      </c>
      <c r="O646" s="41" t="s">
        <v>4772</v>
      </c>
      <c r="P646" s="41">
        <v>3</v>
      </c>
      <c r="Q646" s="41">
        <v>6</v>
      </c>
      <c r="R646" s="41">
        <v>68</v>
      </c>
      <c r="S646" t="s">
        <v>4773</v>
      </c>
      <c r="T646" t="s">
        <v>1263</v>
      </c>
      <c r="V646" t="s">
        <v>4774</v>
      </c>
      <c r="X646">
        <v>0.5</v>
      </c>
      <c r="Y646" t="s">
        <v>4775</v>
      </c>
      <c r="AH646" t="s">
        <v>359</v>
      </c>
    </row>
    <row r="647" spans="1:34" ht="15.75">
      <c r="A647" s="29">
        <f t="shared" si="10"/>
        <v>1530</v>
      </c>
      <c r="B647" s="6" t="s">
        <v>4310</v>
      </c>
      <c r="C647">
        <v>5</v>
      </c>
      <c r="D647" s="2">
        <v>1817</v>
      </c>
      <c r="E647">
        <v>388</v>
      </c>
      <c r="H647" t="s">
        <v>850</v>
      </c>
      <c r="I647" s="2">
        <v>1530</v>
      </c>
      <c r="J647" s="2">
        <v>0</v>
      </c>
      <c r="K647" s="2" t="s">
        <v>865</v>
      </c>
      <c r="L647" s="43" t="s">
        <v>1451</v>
      </c>
      <c r="M647" s="41" t="s">
        <v>1452</v>
      </c>
      <c r="N647" s="41" t="s">
        <v>3453</v>
      </c>
      <c r="O647" s="41" t="s">
        <v>1453</v>
      </c>
      <c r="P647" s="41">
        <v>27</v>
      </c>
      <c r="Q647" s="41">
        <v>3</v>
      </c>
      <c r="R647" s="41">
        <v>80</v>
      </c>
      <c r="S647" t="s">
        <v>1454</v>
      </c>
      <c r="V647" t="s">
        <v>1455</v>
      </c>
      <c r="AH647" t="s">
        <v>359</v>
      </c>
    </row>
    <row r="648" spans="1:34" ht="15.75">
      <c r="A648" s="29">
        <f t="shared" si="10"/>
        <v>5484</v>
      </c>
      <c r="B648" s="6">
        <v>967</v>
      </c>
      <c r="C648">
        <v>5</v>
      </c>
      <c r="D648" s="2">
        <v>1817</v>
      </c>
      <c r="E648">
        <v>389</v>
      </c>
      <c r="H648" t="s">
        <v>1541</v>
      </c>
      <c r="I648" s="2">
        <v>5484</v>
      </c>
      <c r="J648" s="2">
        <v>0</v>
      </c>
      <c r="K648" s="2" t="s">
        <v>865</v>
      </c>
      <c r="L648" s="43" t="s">
        <v>1456</v>
      </c>
      <c r="P648" s="41">
        <v>20</v>
      </c>
      <c r="Q648" s="41">
        <v>5</v>
      </c>
      <c r="R648" s="41">
        <v>23</v>
      </c>
      <c r="AH648" t="s">
        <v>359</v>
      </c>
    </row>
    <row r="649" spans="1:34" ht="15.75">
      <c r="A649" s="29">
        <f t="shared" si="10"/>
        <v>31992</v>
      </c>
      <c r="B649" s="6">
        <v>967</v>
      </c>
      <c r="C649">
        <v>5</v>
      </c>
      <c r="D649" s="2">
        <v>1817</v>
      </c>
      <c r="E649">
        <v>390</v>
      </c>
      <c r="H649" t="s">
        <v>1540</v>
      </c>
      <c r="I649" s="2">
        <f>16995+4800+5665+2832+1700</f>
        <v>31992</v>
      </c>
      <c r="J649" s="2">
        <v>0</v>
      </c>
      <c r="K649" s="2" t="s">
        <v>865</v>
      </c>
      <c r="L649" s="43" t="s">
        <v>4776</v>
      </c>
      <c r="M649" s="41" t="s">
        <v>5316</v>
      </c>
      <c r="N649" s="41" t="s">
        <v>4777</v>
      </c>
      <c r="O649" s="41" t="s">
        <v>4778</v>
      </c>
      <c r="P649" s="41">
        <v>28</v>
      </c>
      <c r="Q649" s="41">
        <v>12</v>
      </c>
      <c r="R649" s="41">
        <v>56</v>
      </c>
      <c r="S649" t="s">
        <v>4779</v>
      </c>
      <c r="T649" t="s">
        <v>4780</v>
      </c>
      <c r="V649" t="s">
        <v>4781</v>
      </c>
      <c r="AH649" t="s">
        <v>359</v>
      </c>
    </row>
    <row r="650" spans="1:34" ht="15.75">
      <c r="A650" s="29">
        <f t="shared" si="10"/>
        <v>59</v>
      </c>
      <c r="B650" s="6">
        <v>967</v>
      </c>
      <c r="C650">
        <v>5</v>
      </c>
      <c r="D650" s="2">
        <v>1817</v>
      </c>
      <c r="E650">
        <v>391</v>
      </c>
      <c r="H650" t="s">
        <v>1541</v>
      </c>
      <c r="I650" s="2">
        <v>59</v>
      </c>
      <c r="J650" s="2">
        <v>0</v>
      </c>
      <c r="K650" s="2" t="s">
        <v>865</v>
      </c>
      <c r="L650" s="43" t="s">
        <v>1457</v>
      </c>
      <c r="P650" s="41">
        <v>10</v>
      </c>
      <c r="Q650" s="41">
        <v>2</v>
      </c>
      <c r="R650" s="41">
        <v>66</v>
      </c>
      <c r="AH650" t="s">
        <v>359</v>
      </c>
    </row>
    <row r="651" spans="1:34" ht="15.75">
      <c r="A651" s="29">
        <f t="shared" si="10"/>
        <v>25</v>
      </c>
      <c r="B651" s="6">
        <v>968</v>
      </c>
      <c r="C651">
        <v>5</v>
      </c>
      <c r="D651" s="2">
        <v>1817</v>
      </c>
      <c r="E651">
        <v>392</v>
      </c>
      <c r="H651" t="s">
        <v>1540</v>
      </c>
      <c r="I651" s="2">
        <v>25</v>
      </c>
      <c r="J651" s="2">
        <v>0</v>
      </c>
      <c r="K651" s="2" t="s">
        <v>865</v>
      </c>
      <c r="L651" s="43" t="s">
        <v>1458</v>
      </c>
      <c r="P651" s="41">
        <v>27</v>
      </c>
      <c r="Q651" s="41">
        <v>8</v>
      </c>
      <c r="R651" s="41">
        <v>75</v>
      </c>
      <c r="AH651" t="s">
        <v>359</v>
      </c>
    </row>
    <row r="652" spans="1:34" ht="15.75">
      <c r="A652" s="29">
        <f t="shared" si="10"/>
        <v>24000</v>
      </c>
      <c r="B652" s="10">
        <v>968</v>
      </c>
      <c r="C652">
        <v>5</v>
      </c>
      <c r="D652" s="8">
        <v>1817</v>
      </c>
      <c r="E652">
        <v>394</v>
      </c>
      <c r="F652" s="9"/>
      <c r="G652" s="9"/>
      <c r="H652" s="9" t="s">
        <v>1540</v>
      </c>
      <c r="I652" s="8">
        <v>0</v>
      </c>
      <c r="J652" s="8">
        <v>1200</v>
      </c>
      <c r="K652" s="2" t="s">
        <v>865</v>
      </c>
      <c r="L652" s="43" t="s">
        <v>1196</v>
      </c>
      <c r="M652" s="43" t="s">
        <v>1543</v>
      </c>
      <c r="N652" s="43"/>
      <c r="O652" s="43" t="s">
        <v>1197</v>
      </c>
      <c r="P652" s="43">
        <v>19</v>
      </c>
      <c r="Q652" s="43">
        <v>8</v>
      </c>
      <c r="R652" s="43"/>
      <c r="S652" t="s">
        <v>1199</v>
      </c>
      <c r="T652" t="s">
        <v>3490</v>
      </c>
      <c r="V652" t="s">
        <v>3374</v>
      </c>
      <c r="X652">
        <v>1</v>
      </c>
      <c r="Y652" t="s">
        <v>4782</v>
      </c>
      <c r="AA652" t="s">
        <v>1200</v>
      </c>
      <c r="AG652" t="s">
        <v>1198</v>
      </c>
      <c r="AH652" t="s">
        <v>359</v>
      </c>
    </row>
    <row r="653" spans="1:34" ht="15.75">
      <c r="A653" s="29">
        <f t="shared" si="10"/>
        <v>21900</v>
      </c>
      <c r="B653" s="10">
        <v>968</v>
      </c>
      <c r="C653">
        <v>5</v>
      </c>
      <c r="D653" s="8">
        <v>1817</v>
      </c>
      <c r="E653">
        <v>395</v>
      </c>
      <c r="F653" s="9"/>
      <c r="G653" s="9"/>
      <c r="H653" s="9" t="s">
        <v>1540</v>
      </c>
      <c r="I653" s="8">
        <v>21900</v>
      </c>
      <c r="J653" s="8">
        <v>0</v>
      </c>
      <c r="K653" s="2" t="s">
        <v>865</v>
      </c>
      <c r="L653" s="43" t="s">
        <v>1201</v>
      </c>
      <c r="M653" s="41" t="s">
        <v>3137</v>
      </c>
      <c r="N653" s="41" t="s">
        <v>1555</v>
      </c>
      <c r="O653" s="41" t="s">
        <v>3469</v>
      </c>
      <c r="P653" s="41">
        <v>19</v>
      </c>
      <c r="Q653" s="41">
        <v>3</v>
      </c>
      <c r="R653" s="41">
        <v>48</v>
      </c>
      <c r="S653" t="s">
        <v>1202</v>
      </c>
      <c r="T653" t="s">
        <v>3132</v>
      </c>
      <c r="U653" t="s">
        <v>1203</v>
      </c>
      <c r="V653" t="s">
        <v>3445</v>
      </c>
      <c r="AH653" t="s">
        <v>359</v>
      </c>
    </row>
    <row r="654" spans="1:34" ht="15.75">
      <c r="A654" s="29">
        <f t="shared" si="10"/>
        <v>155</v>
      </c>
      <c r="B654" s="6">
        <v>968</v>
      </c>
      <c r="C654">
        <v>5</v>
      </c>
      <c r="D654" s="2">
        <v>1817</v>
      </c>
      <c r="E654">
        <v>396</v>
      </c>
      <c r="H654" t="s">
        <v>1541</v>
      </c>
      <c r="I654" s="2">
        <v>155</v>
      </c>
      <c r="J654" s="2">
        <v>0</v>
      </c>
      <c r="K654" s="2" t="s">
        <v>865</v>
      </c>
      <c r="L654" s="43" t="s">
        <v>1463</v>
      </c>
      <c r="P654" s="41">
        <v>13</v>
      </c>
      <c r="Q654" s="41">
        <v>11</v>
      </c>
      <c r="R654" s="41">
        <v>78</v>
      </c>
      <c r="AH654" t="s">
        <v>359</v>
      </c>
    </row>
    <row r="655" spans="1:34" ht="15.75">
      <c r="A655" s="29">
        <f t="shared" si="10"/>
        <v>273</v>
      </c>
      <c r="B655" s="6">
        <v>968</v>
      </c>
      <c r="C655">
        <v>5</v>
      </c>
      <c r="D655" s="2">
        <v>1817</v>
      </c>
      <c r="E655">
        <v>397</v>
      </c>
      <c r="H655" t="s">
        <v>1540</v>
      </c>
      <c r="I655" s="2">
        <v>273</v>
      </c>
      <c r="J655" s="2">
        <v>0</v>
      </c>
      <c r="K655" s="2" t="s">
        <v>865</v>
      </c>
      <c r="L655" s="43" t="s">
        <v>1463</v>
      </c>
      <c r="P655" s="41">
        <v>18</v>
      </c>
      <c r="Q655" s="41">
        <v>5</v>
      </c>
      <c r="R655" s="41">
        <v>79</v>
      </c>
      <c r="AH655" t="s">
        <v>359</v>
      </c>
    </row>
    <row r="656" spans="1:34" ht="15.75">
      <c r="A656" s="29">
        <f t="shared" si="10"/>
        <v>1979</v>
      </c>
      <c r="B656" s="6">
        <v>968</v>
      </c>
      <c r="C656">
        <v>5</v>
      </c>
      <c r="D656" s="2">
        <v>1817</v>
      </c>
      <c r="E656">
        <v>398</v>
      </c>
      <c r="H656" t="s">
        <v>1540</v>
      </c>
      <c r="I656" s="2">
        <v>1979</v>
      </c>
      <c r="J656" s="2">
        <v>0</v>
      </c>
      <c r="K656" s="2" t="s">
        <v>865</v>
      </c>
      <c r="L656" s="43" t="s">
        <v>1463</v>
      </c>
      <c r="P656" s="41">
        <v>29</v>
      </c>
      <c r="Q656" s="41">
        <v>9</v>
      </c>
      <c r="R656" s="41">
        <v>79</v>
      </c>
      <c r="AH656" t="s">
        <v>359</v>
      </c>
    </row>
    <row r="657" spans="1:34" ht="15.75">
      <c r="A657" s="29">
        <f t="shared" si="10"/>
        <v>120</v>
      </c>
      <c r="B657" s="6">
        <v>968</v>
      </c>
      <c r="C657">
        <v>5</v>
      </c>
      <c r="D657" s="2">
        <v>1817</v>
      </c>
      <c r="E657">
        <v>399</v>
      </c>
      <c r="H657" t="s">
        <v>1549</v>
      </c>
      <c r="I657" s="2">
        <v>120</v>
      </c>
      <c r="J657" s="2">
        <v>0</v>
      </c>
      <c r="K657" s="2" t="s">
        <v>865</v>
      </c>
      <c r="L657" s="43" t="s">
        <v>1464</v>
      </c>
      <c r="P657" s="41">
        <v>5</v>
      </c>
      <c r="Q657" s="41">
        <v>10</v>
      </c>
      <c r="R657" s="41">
        <v>32</v>
      </c>
      <c r="AH657" t="s">
        <v>359</v>
      </c>
    </row>
    <row r="658" spans="1:34" ht="15.75">
      <c r="A658" s="29">
        <f t="shared" si="10"/>
        <v>66</v>
      </c>
      <c r="B658" s="6">
        <v>968</v>
      </c>
      <c r="C658">
        <v>5</v>
      </c>
      <c r="D658" s="2">
        <v>1817</v>
      </c>
      <c r="E658">
        <v>400</v>
      </c>
      <c r="H658" t="s">
        <v>1540</v>
      </c>
      <c r="I658" s="2">
        <v>66</v>
      </c>
      <c r="J658" s="2">
        <v>0</v>
      </c>
      <c r="K658" s="2" t="s">
        <v>865</v>
      </c>
      <c r="L658" s="43" t="s">
        <v>1465</v>
      </c>
      <c r="P658" s="41">
        <v>14</v>
      </c>
      <c r="Q658" s="41">
        <v>3</v>
      </c>
      <c r="R658" s="41">
        <v>27</v>
      </c>
      <c r="AH658" t="s">
        <v>359</v>
      </c>
    </row>
    <row r="659" spans="1:34" ht="15.75">
      <c r="A659" s="29">
        <f t="shared" si="10"/>
        <v>803</v>
      </c>
      <c r="B659" s="6">
        <v>968</v>
      </c>
      <c r="C659">
        <v>5</v>
      </c>
      <c r="D659" s="2">
        <v>1817</v>
      </c>
      <c r="E659">
        <v>401</v>
      </c>
      <c r="H659" t="s">
        <v>1540</v>
      </c>
      <c r="I659" s="2">
        <v>803</v>
      </c>
      <c r="J659" s="2">
        <v>0</v>
      </c>
      <c r="K659" s="2" t="s">
        <v>865</v>
      </c>
      <c r="L659" s="43" t="s">
        <v>1465</v>
      </c>
      <c r="P659" s="41">
        <v>12</v>
      </c>
      <c r="Q659" s="41">
        <v>3</v>
      </c>
      <c r="R659" s="41">
        <v>79</v>
      </c>
      <c r="AH659" t="s">
        <v>359</v>
      </c>
    </row>
    <row r="660" spans="1:34" ht="15.75">
      <c r="A660" s="29">
        <f t="shared" si="10"/>
        <v>128779</v>
      </c>
      <c r="B660" s="6">
        <v>969</v>
      </c>
      <c r="C660">
        <v>5</v>
      </c>
      <c r="D660" s="2">
        <v>1817</v>
      </c>
      <c r="E660">
        <v>402</v>
      </c>
      <c r="H660" t="s">
        <v>1541</v>
      </c>
      <c r="I660" s="2">
        <f>64050+64729</f>
        <v>128779</v>
      </c>
      <c r="J660" s="2">
        <v>0</v>
      </c>
      <c r="K660" s="2" t="s">
        <v>1549</v>
      </c>
      <c r="L660" s="43" t="s">
        <v>3452</v>
      </c>
      <c r="M660" s="41" t="s">
        <v>4643</v>
      </c>
      <c r="N660" s="41" t="s">
        <v>3453</v>
      </c>
      <c r="O660" s="41" t="s">
        <v>3454</v>
      </c>
      <c r="P660" s="41">
        <v>26</v>
      </c>
      <c r="Q660" s="41">
        <v>5</v>
      </c>
      <c r="R660" s="41">
        <v>71</v>
      </c>
      <c r="S660" t="s">
        <v>3455</v>
      </c>
      <c r="V660" t="s">
        <v>1278</v>
      </c>
      <c r="AH660" t="s">
        <v>359</v>
      </c>
    </row>
    <row r="661" spans="1:34" ht="15.75">
      <c r="A661" s="29">
        <f t="shared" si="10"/>
        <v>541</v>
      </c>
      <c r="B661" s="6">
        <v>969</v>
      </c>
      <c r="C661">
        <v>5</v>
      </c>
      <c r="D661" s="2">
        <v>1817</v>
      </c>
      <c r="E661">
        <v>403</v>
      </c>
      <c r="H661" t="s">
        <v>1541</v>
      </c>
      <c r="I661" s="2">
        <v>541</v>
      </c>
      <c r="J661" s="2">
        <v>0</v>
      </c>
      <c r="K661" s="2" t="s">
        <v>1549</v>
      </c>
      <c r="L661" s="43" t="s">
        <v>1466</v>
      </c>
      <c r="P661" s="41">
        <v>5</v>
      </c>
      <c r="Q661" s="41">
        <v>10</v>
      </c>
      <c r="R661" s="41">
        <v>45</v>
      </c>
      <c r="AH661" t="s">
        <v>359</v>
      </c>
    </row>
    <row r="662" spans="1:34" ht="15.75">
      <c r="A662" s="29">
        <f t="shared" si="10"/>
        <v>596</v>
      </c>
      <c r="B662" s="6">
        <v>969</v>
      </c>
      <c r="C662">
        <v>5</v>
      </c>
      <c r="D662" s="2">
        <v>1817</v>
      </c>
      <c r="E662">
        <v>404</v>
      </c>
      <c r="H662" t="s">
        <v>1541</v>
      </c>
      <c r="I662" s="2">
        <v>596</v>
      </c>
      <c r="J662" s="2">
        <v>0</v>
      </c>
      <c r="K662" s="2" t="s">
        <v>1549</v>
      </c>
      <c r="L662" s="43" t="s">
        <v>1466</v>
      </c>
      <c r="P662" s="41">
        <v>24</v>
      </c>
      <c r="Q662" s="41">
        <v>1</v>
      </c>
      <c r="R662" s="41">
        <v>67</v>
      </c>
      <c r="AH662" t="s">
        <v>359</v>
      </c>
    </row>
    <row r="663" spans="1:34" ht="15.75">
      <c r="A663" s="29">
        <f t="shared" si="10"/>
        <v>31041</v>
      </c>
      <c r="B663" s="6">
        <v>969</v>
      </c>
      <c r="C663">
        <v>5</v>
      </c>
      <c r="D663" s="2">
        <v>1817</v>
      </c>
      <c r="E663">
        <v>405</v>
      </c>
      <c r="H663" t="s">
        <v>1541</v>
      </c>
      <c r="I663" s="2">
        <f>11841+1200</f>
        <v>13041</v>
      </c>
      <c r="J663" s="2">
        <f>1000+800</f>
        <v>1800</v>
      </c>
      <c r="K663" s="2" t="s">
        <v>1549</v>
      </c>
      <c r="L663" s="43" t="s">
        <v>3456</v>
      </c>
      <c r="M663" s="41" t="s">
        <v>3457</v>
      </c>
      <c r="O663" s="41" t="s">
        <v>3458</v>
      </c>
      <c r="P663" s="41">
        <v>3</v>
      </c>
      <c r="Q663" s="41">
        <v>11</v>
      </c>
      <c r="R663" s="41">
        <v>53</v>
      </c>
      <c r="S663" t="s">
        <v>3459</v>
      </c>
      <c r="T663" t="s">
        <v>3460</v>
      </c>
      <c r="V663" t="s">
        <v>3148</v>
      </c>
      <c r="X663">
        <v>0.5</v>
      </c>
      <c r="Y663" t="s">
        <v>3461</v>
      </c>
      <c r="AH663" t="s">
        <v>359</v>
      </c>
    </row>
    <row r="664" spans="1:34" ht="15.75">
      <c r="A664" s="29">
        <f t="shared" si="10"/>
        <v>279</v>
      </c>
      <c r="B664" s="6">
        <v>969</v>
      </c>
      <c r="C664">
        <v>5</v>
      </c>
      <c r="D664" s="2">
        <v>1817</v>
      </c>
      <c r="E664">
        <v>406</v>
      </c>
      <c r="H664" t="s">
        <v>1540</v>
      </c>
      <c r="I664" s="2">
        <v>279</v>
      </c>
      <c r="J664" s="2">
        <v>0</v>
      </c>
      <c r="K664" s="2" t="s">
        <v>1549</v>
      </c>
      <c r="L664" s="43" t="s">
        <v>1468</v>
      </c>
      <c r="P664" s="41">
        <v>3</v>
      </c>
      <c r="Q664" s="41">
        <v>4</v>
      </c>
      <c r="R664" s="41">
        <v>39</v>
      </c>
      <c r="AH664" t="s">
        <v>359</v>
      </c>
    </row>
    <row r="665" spans="1:34" ht="15.75">
      <c r="A665" s="29">
        <f t="shared" si="10"/>
        <v>2299</v>
      </c>
      <c r="B665" s="6">
        <v>969</v>
      </c>
      <c r="C665">
        <v>5</v>
      </c>
      <c r="D665" s="2">
        <v>1817</v>
      </c>
      <c r="E665">
        <v>407</v>
      </c>
      <c r="H665" t="s">
        <v>1541</v>
      </c>
      <c r="I665" s="2">
        <v>2299</v>
      </c>
      <c r="J665" s="2">
        <v>0</v>
      </c>
      <c r="K665" s="2" t="s">
        <v>1549</v>
      </c>
      <c r="L665" s="43" t="s">
        <v>1468</v>
      </c>
      <c r="P665" s="41">
        <v>12</v>
      </c>
      <c r="Q665" s="41">
        <v>2</v>
      </c>
      <c r="R665" s="41">
        <v>69</v>
      </c>
      <c r="AH665" t="s">
        <v>359</v>
      </c>
    </row>
    <row r="666" spans="1:34" ht="15.75">
      <c r="A666" s="29">
        <f t="shared" si="10"/>
        <v>14</v>
      </c>
      <c r="B666" s="6">
        <v>969</v>
      </c>
      <c r="C666">
        <v>5</v>
      </c>
      <c r="D666" s="2">
        <v>1817</v>
      </c>
      <c r="E666">
        <v>408</v>
      </c>
      <c r="H666" t="s">
        <v>1540</v>
      </c>
      <c r="I666" s="2">
        <v>14</v>
      </c>
      <c r="J666" s="2">
        <v>0</v>
      </c>
      <c r="K666" s="2" t="s">
        <v>1549</v>
      </c>
      <c r="L666" s="43" t="s">
        <v>1469</v>
      </c>
      <c r="P666" s="41">
        <v>26</v>
      </c>
      <c r="Q666" s="41">
        <v>8</v>
      </c>
      <c r="R666" s="41">
        <v>71</v>
      </c>
      <c r="AH666" t="s">
        <v>359</v>
      </c>
    </row>
    <row r="667" spans="1:34" ht="15.75">
      <c r="A667" s="29">
        <f t="shared" si="10"/>
        <v>2114</v>
      </c>
      <c r="B667" s="6" t="s">
        <v>4314</v>
      </c>
      <c r="C667">
        <v>5</v>
      </c>
      <c r="D667" s="2">
        <v>1817</v>
      </c>
      <c r="E667">
        <v>409</v>
      </c>
      <c r="H667" t="s">
        <v>1541</v>
      </c>
      <c r="I667" s="2">
        <v>2114</v>
      </c>
      <c r="J667" s="2">
        <v>0</v>
      </c>
      <c r="K667" s="2" t="s">
        <v>1549</v>
      </c>
      <c r="L667" s="43" t="s">
        <v>1470</v>
      </c>
      <c r="M667" s="41" t="s">
        <v>1553</v>
      </c>
      <c r="O667" s="41" t="s">
        <v>1471</v>
      </c>
      <c r="P667" s="41">
        <v>18</v>
      </c>
      <c r="Q667" s="41">
        <v>2</v>
      </c>
      <c r="R667" s="41">
        <v>65</v>
      </c>
      <c r="S667" t="s">
        <v>1472</v>
      </c>
      <c r="T667" t="s">
        <v>1473</v>
      </c>
      <c r="V667" t="s">
        <v>1663</v>
      </c>
      <c r="AH667" t="s">
        <v>359</v>
      </c>
    </row>
    <row r="668" spans="1:34" ht="15.75">
      <c r="A668" s="29">
        <f t="shared" si="10"/>
        <v>79</v>
      </c>
      <c r="B668" s="6">
        <v>969</v>
      </c>
      <c r="C668">
        <v>5</v>
      </c>
      <c r="D668" s="2">
        <v>1817</v>
      </c>
      <c r="E668">
        <v>410</v>
      </c>
      <c r="H668" t="s">
        <v>1541</v>
      </c>
      <c r="I668" s="2">
        <v>79</v>
      </c>
      <c r="J668" s="2">
        <v>0</v>
      </c>
      <c r="K668" s="2" t="s">
        <v>1549</v>
      </c>
      <c r="L668" s="43" t="s">
        <v>1475</v>
      </c>
      <c r="P668" s="41">
        <v>30</v>
      </c>
      <c r="Q668" s="41">
        <v>10</v>
      </c>
      <c r="R668" s="41">
        <v>70</v>
      </c>
      <c r="AH668" t="s">
        <v>359</v>
      </c>
    </row>
    <row r="669" spans="1:34" ht="15.75">
      <c r="A669" s="29">
        <f t="shared" si="10"/>
        <v>210</v>
      </c>
      <c r="B669" s="6">
        <v>969</v>
      </c>
      <c r="C669">
        <v>5</v>
      </c>
      <c r="D669" s="2">
        <v>1817</v>
      </c>
      <c r="E669">
        <v>411</v>
      </c>
      <c r="H669" t="s">
        <v>1541</v>
      </c>
      <c r="I669" s="2">
        <v>210</v>
      </c>
      <c r="J669" s="2">
        <v>0</v>
      </c>
      <c r="K669" s="2" t="s">
        <v>1549</v>
      </c>
      <c r="L669" s="43" t="s">
        <v>1475</v>
      </c>
      <c r="P669" s="41">
        <v>11</v>
      </c>
      <c r="Q669" s="41">
        <v>8</v>
      </c>
      <c r="R669" s="41">
        <v>88</v>
      </c>
      <c r="AH669" t="s">
        <v>359</v>
      </c>
    </row>
    <row r="670" spans="1:34" ht="15.75">
      <c r="A670" s="29">
        <f t="shared" si="10"/>
        <v>213</v>
      </c>
      <c r="B670" s="6">
        <v>969</v>
      </c>
      <c r="C670">
        <v>5</v>
      </c>
      <c r="D670" s="2">
        <v>1817</v>
      </c>
      <c r="E670">
        <v>412</v>
      </c>
      <c r="H670" t="s">
        <v>1541</v>
      </c>
      <c r="I670" s="2">
        <v>213</v>
      </c>
      <c r="J670" s="2">
        <v>0</v>
      </c>
      <c r="K670" s="2" t="s">
        <v>1549</v>
      </c>
      <c r="L670" s="43" t="s">
        <v>1475</v>
      </c>
      <c r="P670" s="41">
        <v>22</v>
      </c>
      <c r="Q670" s="41">
        <v>5</v>
      </c>
      <c r="R670" s="41">
        <v>46</v>
      </c>
      <c r="AH670" t="s">
        <v>359</v>
      </c>
    </row>
    <row r="671" spans="1:34" ht="15.75">
      <c r="A671" s="29">
        <f t="shared" si="10"/>
        <v>1574</v>
      </c>
      <c r="B671" s="6">
        <v>969</v>
      </c>
      <c r="C671">
        <v>5</v>
      </c>
      <c r="D671" s="2">
        <v>1817</v>
      </c>
      <c r="E671">
        <v>413</v>
      </c>
      <c r="H671" t="s">
        <v>1540</v>
      </c>
      <c r="I671" s="2">
        <v>1574</v>
      </c>
      <c r="J671" s="2">
        <v>0</v>
      </c>
      <c r="K671" s="2" t="s">
        <v>1549</v>
      </c>
      <c r="L671" s="43" t="s">
        <v>1475</v>
      </c>
      <c r="P671" s="41">
        <v>21</v>
      </c>
      <c r="Q671" s="41">
        <v>5</v>
      </c>
      <c r="R671" s="41">
        <v>74</v>
      </c>
      <c r="AH671" t="s">
        <v>359</v>
      </c>
    </row>
    <row r="672" spans="1:34" ht="15.75">
      <c r="A672" s="29">
        <f t="shared" si="10"/>
        <v>26559</v>
      </c>
      <c r="B672" s="6">
        <v>970</v>
      </c>
      <c r="C672">
        <v>5</v>
      </c>
      <c r="D672" s="2">
        <v>1817</v>
      </c>
      <c r="E672">
        <v>416</v>
      </c>
      <c r="H672" t="s">
        <v>1540</v>
      </c>
      <c r="I672" s="2">
        <v>26559</v>
      </c>
      <c r="J672" s="2">
        <v>0</v>
      </c>
      <c r="K672" s="2" t="s">
        <v>1549</v>
      </c>
      <c r="L672" s="43" t="s">
        <v>3466</v>
      </c>
      <c r="M672" s="41" t="s">
        <v>3467</v>
      </c>
      <c r="N672" s="41" t="s">
        <v>3468</v>
      </c>
      <c r="O672" s="41" t="s">
        <v>3469</v>
      </c>
      <c r="P672" s="41">
        <v>13</v>
      </c>
      <c r="Q672" s="41">
        <v>4</v>
      </c>
      <c r="R672" s="41">
        <v>30</v>
      </c>
      <c r="S672" t="s">
        <v>3343</v>
      </c>
      <c r="T672" t="s">
        <v>3470</v>
      </c>
      <c r="V672" t="s">
        <v>3274</v>
      </c>
      <c r="AH672" t="s">
        <v>359</v>
      </c>
    </row>
    <row r="673" spans="1:34" ht="15.75">
      <c r="A673" s="29">
        <f t="shared" si="10"/>
        <v>439</v>
      </c>
      <c r="B673" s="6">
        <v>970</v>
      </c>
      <c r="C673">
        <v>5</v>
      </c>
      <c r="D673" s="2">
        <v>1817</v>
      </c>
      <c r="E673">
        <v>417</v>
      </c>
      <c r="H673" t="s">
        <v>1541</v>
      </c>
      <c r="I673" s="2">
        <v>439</v>
      </c>
      <c r="J673" s="2">
        <v>0</v>
      </c>
      <c r="K673" s="2" t="s">
        <v>1549</v>
      </c>
      <c r="L673" s="43" t="s">
        <v>3317</v>
      </c>
      <c r="P673" s="41">
        <v>25</v>
      </c>
      <c r="Q673" s="41">
        <v>5</v>
      </c>
      <c r="R673" s="41">
        <v>26</v>
      </c>
      <c r="AH673" t="s">
        <v>359</v>
      </c>
    </row>
    <row r="674" spans="1:34" ht="15.75">
      <c r="A674" s="29">
        <f t="shared" si="10"/>
        <v>1957</v>
      </c>
      <c r="B674" s="6">
        <v>970</v>
      </c>
      <c r="C674">
        <v>5</v>
      </c>
      <c r="D674" s="2">
        <v>1817</v>
      </c>
      <c r="E674">
        <v>418</v>
      </c>
      <c r="H674" t="s">
        <v>1541</v>
      </c>
      <c r="I674" s="2">
        <v>1957</v>
      </c>
      <c r="J674" s="2">
        <v>0</v>
      </c>
      <c r="K674" s="2" t="s">
        <v>1549</v>
      </c>
      <c r="L674" s="43" t="s">
        <v>3318</v>
      </c>
      <c r="P674" s="41">
        <v>8</v>
      </c>
      <c r="Q674" s="41">
        <v>1</v>
      </c>
      <c r="R674" s="41">
        <v>52</v>
      </c>
      <c r="AH674" t="s">
        <v>359</v>
      </c>
    </row>
    <row r="675" spans="1:34" ht="15.75">
      <c r="A675" s="29">
        <f t="shared" si="10"/>
        <v>1743</v>
      </c>
      <c r="B675" s="6">
        <v>970</v>
      </c>
      <c r="C675">
        <v>5</v>
      </c>
      <c r="D675" s="2">
        <v>1817</v>
      </c>
      <c r="E675">
        <v>419</v>
      </c>
      <c r="H675" t="s">
        <v>1540</v>
      </c>
      <c r="I675" s="2">
        <v>1743</v>
      </c>
      <c r="J675" s="2">
        <v>0</v>
      </c>
      <c r="K675" s="2" t="s">
        <v>1549</v>
      </c>
      <c r="L675" s="43" t="s">
        <v>3319</v>
      </c>
      <c r="P675" s="41">
        <v>22</v>
      </c>
      <c r="Q675" s="41">
        <v>12</v>
      </c>
      <c r="R675" s="41" t="s">
        <v>1199</v>
      </c>
      <c r="S675" t="s">
        <v>3343</v>
      </c>
      <c r="AH675" t="s">
        <v>359</v>
      </c>
    </row>
    <row r="676" spans="1:34" ht="15.75">
      <c r="A676" s="29">
        <f t="shared" si="10"/>
        <v>29116</v>
      </c>
      <c r="B676" s="6">
        <v>970</v>
      </c>
      <c r="C676">
        <v>5</v>
      </c>
      <c r="D676" s="2">
        <v>1817</v>
      </c>
      <c r="E676">
        <v>420</v>
      </c>
      <c r="H676" t="s">
        <v>1541</v>
      </c>
      <c r="I676" s="2">
        <v>29116</v>
      </c>
      <c r="J676" s="2">
        <v>0</v>
      </c>
      <c r="K676" s="2" t="s">
        <v>1549</v>
      </c>
      <c r="L676" s="43" t="s">
        <v>3275</v>
      </c>
      <c r="M676" s="41" t="s">
        <v>3276</v>
      </c>
      <c r="O676" s="41" t="s">
        <v>3277</v>
      </c>
      <c r="P676" s="41">
        <v>17</v>
      </c>
      <c r="Q676" s="41">
        <v>7</v>
      </c>
      <c r="R676" s="41">
        <v>68</v>
      </c>
      <c r="S676" t="s">
        <v>3278</v>
      </c>
      <c r="T676" t="s">
        <v>3279</v>
      </c>
      <c r="V676" t="s">
        <v>3280</v>
      </c>
      <c r="AH676" t="s">
        <v>359</v>
      </c>
    </row>
    <row r="677" spans="1:34" ht="15.75">
      <c r="A677" s="29">
        <f t="shared" si="10"/>
        <v>132</v>
      </c>
      <c r="B677" s="6">
        <v>970</v>
      </c>
      <c r="C677">
        <v>5</v>
      </c>
      <c r="D677" s="2">
        <v>1817</v>
      </c>
      <c r="E677">
        <v>421</v>
      </c>
      <c r="H677" t="s">
        <v>1541</v>
      </c>
      <c r="I677" s="2">
        <v>132</v>
      </c>
      <c r="J677" s="2">
        <v>0</v>
      </c>
      <c r="K677" s="2" t="s">
        <v>1549</v>
      </c>
      <c r="L677" s="43" t="s">
        <v>3322</v>
      </c>
      <c r="P677" s="41">
        <v>11</v>
      </c>
      <c r="Q677" s="41">
        <v>2</v>
      </c>
      <c r="R677" s="41">
        <v>65</v>
      </c>
      <c r="S677" t="s">
        <v>3321</v>
      </c>
      <c r="AH677" t="s">
        <v>359</v>
      </c>
    </row>
    <row r="678" spans="1:34" ht="15.75">
      <c r="A678" s="29">
        <f t="shared" si="10"/>
        <v>224</v>
      </c>
      <c r="B678" s="6">
        <v>970</v>
      </c>
      <c r="C678">
        <v>5</v>
      </c>
      <c r="D678" s="2">
        <v>1817</v>
      </c>
      <c r="E678">
        <v>422</v>
      </c>
      <c r="H678" t="s">
        <v>1541</v>
      </c>
      <c r="I678" s="2">
        <v>224</v>
      </c>
      <c r="J678" s="2">
        <v>0</v>
      </c>
      <c r="K678" s="2" t="s">
        <v>1549</v>
      </c>
      <c r="L678" s="43" t="s">
        <v>3322</v>
      </c>
      <c r="P678" s="41">
        <v>30</v>
      </c>
      <c r="Q678" s="41">
        <v>9</v>
      </c>
      <c r="R678" s="41">
        <v>50</v>
      </c>
      <c r="S678" t="s">
        <v>3343</v>
      </c>
      <c r="AH678" t="s">
        <v>359</v>
      </c>
    </row>
    <row r="679" spans="1:34" ht="15.75">
      <c r="A679" s="39">
        <f t="shared" si="10"/>
        <v>25</v>
      </c>
      <c r="B679" s="6">
        <v>970</v>
      </c>
      <c r="C679">
        <v>5</v>
      </c>
      <c r="D679" s="2">
        <v>1817</v>
      </c>
      <c r="E679">
        <v>423</v>
      </c>
      <c r="H679" t="s">
        <v>1541</v>
      </c>
      <c r="I679" s="2">
        <v>25</v>
      </c>
      <c r="J679" s="2">
        <v>0</v>
      </c>
      <c r="K679" s="2" t="s">
        <v>1549</v>
      </c>
      <c r="L679" s="43" t="s">
        <v>3323</v>
      </c>
      <c r="P679" s="41">
        <v>27</v>
      </c>
      <c r="Q679" s="41">
        <v>2</v>
      </c>
      <c r="R679" s="41">
        <v>49</v>
      </c>
      <c r="S679" t="s">
        <v>3321</v>
      </c>
      <c r="AH679" t="s">
        <v>359</v>
      </c>
    </row>
    <row r="680" spans="1:34" ht="15.75">
      <c r="A680" s="29">
        <f t="shared" si="10"/>
        <v>48000</v>
      </c>
      <c r="B680" s="6">
        <v>970</v>
      </c>
      <c r="C680">
        <v>5</v>
      </c>
      <c r="D680" s="2">
        <v>1817</v>
      </c>
      <c r="E680">
        <v>424</v>
      </c>
      <c r="H680" t="s">
        <v>1540</v>
      </c>
      <c r="I680" s="2">
        <v>0</v>
      </c>
      <c r="J680" s="2">
        <v>2400</v>
      </c>
      <c r="K680" s="2" t="s">
        <v>1549</v>
      </c>
      <c r="L680" s="43" t="s">
        <v>3282</v>
      </c>
      <c r="M680" s="41" t="s">
        <v>3283</v>
      </c>
      <c r="O680" s="41" t="s">
        <v>3284</v>
      </c>
      <c r="P680" s="41">
        <v>7</v>
      </c>
      <c r="Q680" s="41">
        <v>12</v>
      </c>
      <c r="R680" s="41" t="s">
        <v>1547</v>
      </c>
      <c r="S680" t="s">
        <v>3321</v>
      </c>
      <c r="T680" t="s">
        <v>3442</v>
      </c>
      <c r="V680" t="s">
        <v>2752</v>
      </c>
      <c r="X680">
        <v>1</v>
      </c>
      <c r="Y680" t="s">
        <v>3281</v>
      </c>
      <c r="AH680" t="s">
        <v>359</v>
      </c>
    </row>
    <row r="681" spans="1:34" ht="15.75">
      <c r="A681" s="29">
        <f t="shared" si="10"/>
        <v>11220</v>
      </c>
      <c r="B681" s="6">
        <v>970</v>
      </c>
      <c r="C681">
        <v>5</v>
      </c>
      <c r="D681" s="2">
        <v>1817</v>
      </c>
      <c r="E681">
        <v>425</v>
      </c>
      <c r="H681" t="s">
        <v>1541</v>
      </c>
      <c r="I681" s="2">
        <v>0</v>
      </c>
      <c r="J681" s="2">
        <v>1700</v>
      </c>
      <c r="K681" s="2" t="s">
        <v>1549</v>
      </c>
      <c r="L681" s="43" t="s">
        <v>3285</v>
      </c>
      <c r="M681" s="41" t="s">
        <v>3286</v>
      </c>
      <c r="O681" s="41" t="s">
        <v>3287</v>
      </c>
      <c r="P681" s="41">
        <v>30</v>
      </c>
      <c r="Q681" s="41">
        <v>1</v>
      </c>
      <c r="R681" s="41" t="s">
        <v>1547</v>
      </c>
      <c r="S681" t="s">
        <v>3288</v>
      </c>
      <c r="T681" t="s">
        <v>4784</v>
      </c>
      <c r="V681" t="s">
        <v>3289</v>
      </c>
      <c r="X681">
        <v>0.33</v>
      </c>
      <c r="Y681" t="s">
        <v>3290</v>
      </c>
      <c r="AH681" t="s">
        <v>359</v>
      </c>
    </row>
    <row r="682" spans="1:34" ht="15.75">
      <c r="A682" s="29">
        <f t="shared" si="10"/>
        <v>104370</v>
      </c>
      <c r="B682" s="6">
        <v>970</v>
      </c>
      <c r="C682">
        <v>5</v>
      </c>
      <c r="D682" s="2">
        <v>1817</v>
      </c>
      <c r="E682">
        <v>426</v>
      </c>
      <c r="H682" t="s">
        <v>1540</v>
      </c>
      <c r="I682" s="2">
        <v>83670</v>
      </c>
      <c r="J682" s="2">
        <v>1656</v>
      </c>
      <c r="K682" s="2" t="s">
        <v>1549</v>
      </c>
      <c r="L682" s="43" t="s">
        <v>3292</v>
      </c>
      <c r="M682" s="41" t="s">
        <v>3293</v>
      </c>
      <c r="N682" s="41" t="s">
        <v>3294</v>
      </c>
      <c r="O682" s="41" t="s">
        <v>3291</v>
      </c>
      <c r="P682" s="41">
        <v>27</v>
      </c>
      <c r="Q682" s="41">
        <v>3</v>
      </c>
      <c r="R682" s="41">
        <v>59</v>
      </c>
      <c r="S682" t="s">
        <v>3295</v>
      </c>
      <c r="T682" t="s">
        <v>3296</v>
      </c>
      <c r="V682" t="s">
        <v>3297</v>
      </c>
      <c r="X682">
        <f>5/8</f>
        <v>0.625</v>
      </c>
      <c r="Y682" t="s">
        <v>3291</v>
      </c>
      <c r="AH682" t="s">
        <v>359</v>
      </c>
    </row>
    <row r="683" spans="1:34" ht="15.75">
      <c r="A683" s="29">
        <f t="shared" si="10"/>
        <v>70504</v>
      </c>
      <c r="B683" s="6">
        <v>971</v>
      </c>
      <c r="C683">
        <v>5</v>
      </c>
      <c r="D683" s="2">
        <v>1817</v>
      </c>
      <c r="E683">
        <v>427</v>
      </c>
      <c r="H683" t="s">
        <v>1540</v>
      </c>
      <c r="I683" s="2">
        <v>70504</v>
      </c>
      <c r="J683" s="2">
        <v>0</v>
      </c>
      <c r="K683" s="2" t="s">
        <v>1549</v>
      </c>
      <c r="L683" s="43" t="s">
        <v>3298</v>
      </c>
      <c r="M683" s="41" t="s">
        <v>3299</v>
      </c>
      <c r="N683" s="41" t="s">
        <v>3300</v>
      </c>
      <c r="O683" s="41" t="s">
        <v>3301</v>
      </c>
      <c r="P683" s="41">
        <v>25</v>
      </c>
      <c r="Q683" s="41">
        <v>9</v>
      </c>
      <c r="R683" s="41">
        <v>69</v>
      </c>
      <c r="S683" t="s">
        <v>3302</v>
      </c>
      <c r="T683" t="s">
        <v>3303</v>
      </c>
      <c r="V683" t="s">
        <v>3365</v>
      </c>
      <c r="AH683" t="s">
        <v>359</v>
      </c>
    </row>
    <row r="684" spans="1:34" ht="15.75">
      <c r="A684" s="29">
        <f t="shared" si="10"/>
        <v>25244</v>
      </c>
      <c r="B684" s="6">
        <v>971</v>
      </c>
      <c r="C684">
        <v>5</v>
      </c>
      <c r="D684" s="2">
        <v>1817</v>
      </c>
      <c r="E684">
        <v>428</v>
      </c>
      <c r="H684" t="s">
        <v>1541</v>
      </c>
      <c r="I684" s="2">
        <v>5244</v>
      </c>
      <c r="J684" s="2">
        <v>2000</v>
      </c>
      <c r="K684" s="2" t="s">
        <v>1549</v>
      </c>
      <c r="L684" s="43" t="s">
        <v>3306</v>
      </c>
      <c r="M684" s="41" t="s">
        <v>3307</v>
      </c>
      <c r="O684" s="41" t="s">
        <v>3305</v>
      </c>
      <c r="P684" s="41">
        <v>6</v>
      </c>
      <c r="Q684" s="41">
        <v>10</v>
      </c>
      <c r="R684" s="41" t="s">
        <v>1547</v>
      </c>
      <c r="S684" t="s">
        <v>3308</v>
      </c>
      <c r="V684" t="s">
        <v>3309</v>
      </c>
      <c r="X684">
        <v>0.5</v>
      </c>
      <c r="Y684" t="s">
        <v>3304</v>
      </c>
      <c r="AH684" t="s">
        <v>359</v>
      </c>
    </row>
    <row r="685" spans="1:34" ht="15.75">
      <c r="A685" s="29">
        <f t="shared" si="10"/>
        <v>787</v>
      </c>
      <c r="B685" s="6">
        <v>971</v>
      </c>
      <c r="C685">
        <v>5</v>
      </c>
      <c r="D685" s="2">
        <v>1817</v>
      </c>
      <c r="E685">
        <v>429</v>
      </c>
      <c r="H685" t="s">
        <v>1541</v>
      </c>
      <c r="I685" s="2">
        <v>787</v>
      </c>
      <c r="J685" s="2">
        <v>0</v>
      </c>
      <c r="K685" s="8" t="s">
        <v>1277</v>
      </c>
      <c r="L685" s="43" t="s">
        <v>3330</v>
      </c>
      <c r="P685" s="41">
        <v>12</v>
      </c>
      <c r="Q685" s="41">
        <v>6</v>
      </c>
      <c r="R685" s="41">
        <v>79</v>
      </c>
      <c r="S685" s="13" t="s">
        <v>3329</v>
      </c>
      <c r="AH685" t="s">
        <v>359</v>
      </c>
    </row>
    <row r="686" spans="1:34" ht="15.75">
      <c r="A686" s="29">
        <f t="shared" si="10"/>
        <v>1579</v>
      </c>
      <c r="B686" s="6">
        <v>971</v>
      </c>
      <c r="C686">
        <v>5</v>
      </c>
      <c r="D686" s="2">
        <v>1817</v>
      </c>
      <c r="E686">
        <v>430</v>
      </c>
      <c r="H686" t="s">
        <v>1540</v>
      </c>
      <c r="I686" s="2">
        <v>1579</v>
      </c>
      <c r="J686" s="2">
        <v>0</v>
      </c>
      <c r="K686" s="8" t="s">
        <v>1277</v>
      </c>
      <c r="L686" s="43" t="s">
        <v>3330</v>
      </c>
      <c r="P686" s="41">
        <v>18</v>
      </c>
      <c r="Q686" s="41">
        <v>3</v>
      </c>
      <c r="R686" s="41" t="s">
        <v>1547</v>
      </c>
      <c r="AH686" t="s">
        <v>359</v>
      </c>
    </row>
    <row r="687" spans="1:34" ht="15.75">
      <c r="A687" s="29">
        <f t="shared" si="10"/>
        <v>2758</v>
      </c>
      <c r="B687" s="6">
        <v>971</v>
      </c>
      <c r="C687">
        <v>5</v>
      </c>
      <c r="D687" s="2">
        <v>1817</v>
      </c>
      <c r="E687">
        <v>431</v>
      </c>
      <c r="H687" t="s">
        <v>1540</v>
      </c>
      <c r="I687" s="2">
        <v>2758</v>
      </c>
      <c r="J687" s="2">
        <v>0</v>
      </c>
      <c r="K687" s="8" t="s">
        <v>1277</v>
      </c>
      <c r="L687" s="43" t="s">
        <v>3330</v>
      </c>
      <c r="P687" s="41">
        <v>11</v>
      </c>
      <c r="Q687" s="41">
        <v>8</v>
      </c>
      <c r="R687" s="41" t="s">
        <v>1547</v>
      </c>
      <c r="AH687" t="s">
        <v>359</v>
      </c>
    </row>
    <row r="688" spans="1:34" ht="15.75">
      <c r="A688" s="29">
        <f t="shared" si="10"/>
        <v>20761</v>
      </c>
      <c r="B688" s="10">
        <v>971</v>
      </c>
      <c r="C688">
        <v>5</v>
      </c>
      <c r="D688" s="8">
        <v>1817</v>
      </c>
      <c r="E688">
        <v>432</v>
      </c>
      <c r="F688" s="9"/>
      <c r="G688" s="9"/>
      <c r="H688" s="9" t="s">
        <v>4655</v>
      </c>
      <c r="I688" s="8">
        <v>6761</v>
      </c>
      <c r="J688" s="8">
        <v>700</v>
      </c>
      <c r="K688" s="8" t="s">
        <v>1277</v>
      </c>
      <c r="L688" s="43" t="s">
        <v>913</v>
      </c>
      <c r="M688" s="41" t="s">
        <v>914</v>
      </c>
      <c r="N688" s="41" t="s">
        <v>915</v>
      </c>
      <c r="O688" s="41" t="s">
        <v>916</v>
      </c>
      <c r="P688" s="41">
        <v>27</v>
      </c>
      <c r="Q688" s="41">
        <v>1</v>
      </c>
      <c r="R688" s="41">
        <v>54</v>
      </c>
      <c r="S688" s="13" t="s">
        <v>847</v>
      </c>
      <c r="T688" s="13" t="s">
        <v>4220</v>
      </c>
      <c r="V688" s="13" t="s">
        <v>3152</v>
      </c>
      <c r="W688" s="13"/>
      <c r="X688">
        <v>1</v>
      </c>
      <c r="Y688" s="13" t="s">
        <v>4221</v>
      </c>
      <c r="AH688" t="s">
        <v>359</v>
      </c>
    </row>
    <row r="689" spans="1:34" ht="15.75">
      <c r="A689" s="29">
        <f t="shared" si="10"/>
        <v>171</v>
      </c>
      <c r="B689" s="6">
        <v>972</v>
      </c>
      <c r="C689">
        <v>5</v>
      </c>
      <c r="D689" s="2">
        <v>1817</v>
      </c>
      <c r="E689">
        <v>433</v>
      </c>
      <c r="H689" t="s">
        <v>1540</v>
      </c>
      <c r="I689" s="2">
        <v>171</v>
      </c>
      <c r="J689" s="2">
        <v>0</v>
      </c>
      <c r="K689" s="8" t="s">
        <v>1277</v>
      </c>
      <c r="L689" s="43" t="s">
        <v>3331</v>
      </c>
      <c r="P689" s="41">
        <v>23</v>
      </c>
      <c r="Q689" s="41">
        <v>7</v>
      </c>
      <c r="R689" s="41">
        <v>67</v>
      </c>
      <c r="S689" t="s">
        <v>3321</v>
      </c>
      <c r="AH689" t="s">
        <v>359</v>
      </c>
    </row>
    <row r="690" spans="1:34" ht="15.75">
      <c r="A690" s="29">
        <f t="shared" si="10"/>
        <v>227</v>
      </c>
      <c r="B690" s="6">
        <v>972</v>
      </c>
      <c r="C690">
        <v>5</v>
      </c>
      <c r="D690" s="2">
        <v>1817</v>
      </c>
      <c r="E690">
        <v>434</v>
      </c>
      <c r="H690" t="s">
        <v>1540</v>
      </c>
      <c r="I690" s="2">
        <v>227</v>
      </c>
      <c r="J690" s="2">
        <v>0</v>
      </c>
      <c r="K690" s="8" t="s">
        <v>1277</v>
      </c>
      <c r="L690" s="43" t="s">
        <v>3332</v>
      </c>
      <c r="P690" s="41">
        <v>18</v>
      </c>
      <c r="Q690" s="41">
        <v>10</v>
      </c>
      <c r="R690" s="41">
        <v>74</v>
      </c>
      <c r="S690" t="s">
        <v>3321</v>
      </c>
      <c r="AH690" t="s">
        <v>359</v>
      </c>
    </row>
    <row r="691" spans="1:34" ht="15.75">
      <c r="A691" s="29">
        <f t="shared" si="10"/>
        <v>611</v>
      </c>
      <c r="B691" s="6">
        <v>972</v>
      </c>
      <c r="C691">
        <v>5</v>
      </c>
      <c r="D691" s="2">
        <v>1817</v>
      </c>
      <c r="E691">
        <v>435</v>
      </c>
      <c r="H691" t="s">
        <v>1540</v>
      </c>
      <c r="I691" s="2">
        <v>611</v>
      </c>
      <c r="J691" s="2">
        <v>0</v>
      </c>
      <c r="K691" s="8" t="s">
        <v>1277</v>
      </c>
      <c r="L691" s="43" t="s">
        <v>3332</v>
      </c>
      <c r="P691" s="41">
        <v>16</v>
      </c>
      <c r="Q691" s="41">
        <v>10</v>
      </c>
      <c r="R691" s="41">
        <v>75</v>
      </c>
      <c r="S691" t="s">
        <v>3321</v>
      </c>
      <c r="AH691" t="s">
        <v>359</v>
      </c>
    </row>
    <row r="692" spans="1:34" ht="15.75">
      <c r="A692" s="29">
        <f t="shared" si="10"/>
        <v>3138</v>
      </c>
      <c r="B692" s="6">
        <v>972</v>
      </c>
      <c r="C692">
        <v>5</v>
      </c>
      <c r="D692" s="2">
        <v>1817</v>
      </c>
      <c r="E692">
        <v>436</v>
      </c>
      <c r="H692" t="s">
        <v>1540</v>
      </c>
      <c r="I692" s="2">
        <v>138</v>
      </c>
      <c r="J692" s="2">
        <v>150</v>
      </c>
      <c r="K692" s="8" t="s">
        <v>1277</v>
      </c>
      <c r="L692" s="43" t="s">
        <v>3334</v>
      </c>
      <c r="P692" s="41">
        <v>18</v>
      </c>
      <c r="Q692" s="41">
        <v>5</v>
      </c>
      <c r="R692" s="41">
        <v>45</v>
      </c>
      <c r="S692" t="s">
        <v>3321</v>
      </c>
      <c r="X692">
        <v>1</v>
      </c>
      <c r="Y692" t="s">
        <v>2985</v>
      </c>
      <c r="AH692" t="s">
        <v>359</v>
      </c>
    </row>
    <row r="693" spans="1:34" ht="15.75">
      <c r="A693" s="29">
        <f t="shared" si="10"/>
        <v>339</v>
      </c>
      <c r="B693" s="6">
        <v>972</v>
      </c>
      <c r="C693">
        <v>5</v>
      </c>
      <c r="D693" s="2">
        <v>1817</v>
      </c>
      <c r="E693">
        <v>437</v>
      </c>
      <c r="H693" t="s">
        <v>1540</v>
      </c>
      <c r="I693" s="2">
        <f>226+113</f>
        <v>339</v>
      </c>
      <c r="J693" s="2">
        <v>0</v>
      </c>
      <c r="K693" s="8" t="s">
        <v>1277</v>
      </c>
      <c r="L693" s="43" t="s">
        <v>3335</v>
      </c>
      <c r="P693" s="41">
        <v>12</v>
      </c>
      <c r="Q693" s="41">
        <v>10</v>
      </c>
      <c r="R693" s="41">
        <v>66</v>
      </c>
      <c r="S693" t="s">
        <v>3321</v>
      </c>
      <c r="AH693" t="s">
        <v>359</v>
      </c>
    </row>
    <row r="694" spans="1:34" ht="15.75">
      <c r="A694" s="29">
        <f t="shared" si="10"/>
        <v>1160</v>
      </c>
      <c r="B694" s="6">
        <v>972</v>
      </c>
      <c r="C694">
        <v>5</v>
      </c>
      <c r="D694" s="2">
        <v>1817</v>
      </c>
      <c r="E694">
        <v>438</v>
      </c>
      <c r="H694" t="s">
        <v>1541</v>
      </c>
      <c r="I694" s="2">
        <v>1160</v>
      </c>
      <c r="J694" s="2">
        <v>0</v>
      </c>
      <c r="K694" s="8" t="s">
        <v>1277</v>
      </c>
      <c r="L694" s="43" t="s">
        <v>3336</v>
      </c>
      <c r="P694" s="41">
        <v>25</v>
      </c>
      <c r="Q694" s="41">
        <v>4</v>
      </c>
      <c r="R694" s="41">
        <v>78</v>
      </c>
      <c r="S694" t="s">
        <v>3329</v>
      </c>
      <c r="AH694" t="s">
        <v>359</v>
      </c>
    </row>
    <row r="695" spans="1:34" ht="15.75">
      <c r="A695" s="29">
        <f t="shared" si="10"/>
        <v>604</v>
      </c>
      <c r="B695" s="6">
        <v>972</v>
      </c>
      <c r="C695">
        <v>5</v>
      </c>
      <c r="D695" s="2">
        <v>1817</v>
      </c>
      <c r="E695">
        <v>439</v>
      </c>
      <c r="H695" t="s">
        <v>1541</v>
      </c>
      <c r="I695" s="2">
        <v>604</v>
      </c>
      <c r="J695" s="2">
        <v>0</v>
      </c>
      <c r="K695" s="8" t="s">
        <v>1277</v>
      </c>
      <c r="L695" s="43" t="s">
        <v>3338</v>
      </c>
      <c r="P695" s="41">
        <v>9</v>
      </c>
      <c r="Q695" s="41">
        <v>9</v>
      </c>
      <c r="R695" s="41" t="s">
        <v>1547</v>
      </c>
      <c r="S695" t="s">
        <v>1547</v>
      </c>
      <c r="AH695" t="s">
        <v>359</v>
      </c>
    </row>
    <row r="696" spans="1:34" ht="15.75">
      <c r="A696" s="29">
        <f t="shared" si="10"/>
        <v>1035</v>
      </c>
      <c r="B696" s="6">
        <v>972</v>
      </c>
      <c r="C696">
        <v>5</v>
      </c>
      <c r="D696" s="2">
        <v>1817</v>
      </c>
      <c r="E696">
        <v>440</v>
      </c>
      <c r="H696" t="s">
        <v>1540</v>
      </c>
      <c r="I696" s="2">
        <v>1035</v>
      </c>
      <c r="J696" s="2">
        <v>0</v>
      </c>
      <c r="K696" s="8" t="s">
        <v>1277</v>
      </c>
      <c r="L696" s="43" t="s">
        <v>3338</v>
      </c>
      <c r="P696" s="41">
        <v>2</v>
      </c>
      <c r="Q696" s="41">
        <v>5</v>
      </c>
      <c r="R696" s="41">
        <v>48</v>
      </c>
      <c r="S696" t="s">
        <v>1547</v>
      </c>
      <c r="T696" t="s">
        <v>3339</v>
      </c>
      <c r="X696">
        <v>1</v>
      </c>
      <c r="Y696" t="s">
        <v>3125</v>
      </c>
      <c r="AH696" t="s">
        <v>359</v>
      </c>
    </row>
    <row r="697" spans="1:34" ht="15.75">
      <c r="A697" s="29">
        <f t="shared" si="10"/>
        <v>17906</v>
      </c>
      <c r="B697" s="6">
        <v>972</v>
      </c>
      <c r="C697">
        <v>5</v>
      </c>
      <c r="D697" s="2">
        <v>1817</v>
      </c>
      <c r="E697">
        <v>441</v>
      </c>
      <c r="H697" t="s">
        <v>1541</v>
      </c>
      <c r="I697" s="2">
        <v>5406</v>
      </c>
      <c r="J697" s="2">
        <v>625</v>
      </c>
      <c r="K697" s="8" t="s">
        <v>1277</v>
      </c>
      <c r="L697" s="43" t="s">
        <v>3338</v>
      </c>
      <c r="P697" s="41">
        <v>15</v>
      </c>
      <c r="Q697" s="41">
        <v>5</v>
      </c>
      <c r="R697" s="41">
        <v>67</v>
      </c>
      <c r="S697" t="s">
        <v>3329</v>
      </c>
      <c r="X697">
        <v>1</v>
      </c>
      <c r="Y697" t="s">
        <v>3125</v>
      </c>
      <c r="AH697" t="s">
        <v>359</v>
      </c>
    </row>
    <row r="698" spans="1:34" ht="15.75">
      <c r="A698" s="29">
        <f t="shared" si="10"/>
        <v>42482</v>
      </c>
      <c r="B698" s="6">
        <v>972</v>
      </c>
      <c r="C698">
        <v>5</v>
      </c>
      <c r="D698" s="2">
        <v>1817</v>
      </c>
      <c r="E698">
        <v>442</v>
      </c>
      <c r="H698" t="s">
        <v>1541</v>
      </c>
      <c r="I698" s="2">
        <v>42482</v>
      </c>
      <c r="J698" s="2">
        <v>0</v>
      </c>
      <c r="K698" s="8" t="s">
        <v>1277</v>
      </c>
      <c r="L698" s="43" t="s">
        <v>3310</v>
      </c>
      <c r="M698" s="41" t="s">
        <v>3311</v>
      </c>
      <c r="N698" s="41" t="s">
        <v>3312</v>
      </c>
      <c r="O698" s="41" t="s">
        <v>5929</v>
      </c>
      <c r="P698" s="41">
        <v>2</v>
      </c>
      <c r="Q698" s="41">
        <v>3</v>
      </c>
      <c r="R698" s="41">
        <v>74</v>
      </c>
      <c r="S698" t="s">
        <v>5930</v>
      </c>
      <c r="T698" t="s">
        <v>1274</v>
      </c>
      <c r="V698" t="s">
        <v>1218</v>
      </c>
      <c r="AH698" t="s">
        <v>359</v>
      </c>
    </row>
    <row r="699" spans="1:34" ht="15.75">
      <c r="A699" s="29">
        <f t="shared" si="10"/>
        <v>369</v>
      </c>
      <c r="B699" s="6">
        <v>973</v>
      </c>
      <c r="C699">
        <v>5</v>
      </c>
      <c r="D699" s="2">
        <v>1817</v>
      </c>
      <c r="E699">
        <v>443</v>
      </c>
      <c r="H699" t="s">
        <v>1541</v>
      </c>
      <c r="I699" s="2">
        <v>369</v>
      </c>
      <c r="J699" s="2">
        <v>0</v>
      </c>
      <c r="K699" s="8" t="s">
        <v>1277</v>
      </c>
      <c r="L699" s="43" t="s">
        <v>3340</v>
      </c>
      <c r="P699" s="41">
        <v>5</v>
      </c>
      <c r="Q699" s="41">
        <v>11</v>
      </c>
      <c r="R699" s="41" t="s">
        <v>1547</v>
      </c>
      <c r="S699" t="s">
        <v>1547</v>
      </c>
      <c r="AH699" t="s">
        <v>359</v>
      </c>
    </row>
    <row r="700" spans="1:34" ht="15.75">
      <c r="A700" s="29">
        <f t="shared" si="10"/>
        <v>3662</v>
      </c>
      <c r="B700" s="6">
        <v>973</v>
      </c>
      <c r="C700">
        <v>5</v>
      </c>
      <c r="D700" s="2">
        <v>1817</v>
      </c>
      <c r="E700">
        <v>444</v>
      </c>
      <c r="H700" t="s">
        <v>1541</v>
      </c>
      <c r="I700" s="2">
        <v>3662</v>
      </c>
      <c r="J700" s="2">
        <v>0</v>
      </c>
      <c r="K700" s="8" t="s">
        <v>1277</v>
      </c>
      <c r="L700" s="43" t="s">
        <v>3341</v>
      </c>
      <c r="P700" s="41">
        <v>31</v>
      </c>
      <c r="Q700" s="41">
        <v>5</v>
      </c>
      <c r="R700" s="41">
        <v>40</v>
      </c>
      <c r="S700" t="s">
        <v>3321</v>
      </c>
      <c r="AH700" t="s">
        <v>359</v>
      </c>
    </row>
    <row r="701" spans="1:34" ht="15.75">
      <c r="A701" s="29">
        <f t="shared" si="10"/>
        <v>1512</v>
      </c>
      <c r="B701" s="6">
        <v>973</v>
      </c>
      <c r="C701">
        <v>5</v>
      </c>
      <c r="D701" s="2">
        <v>1817</v>
      </c>
      <c r="E701">
        <v>445</v>
      </c>
      <c r="H701" t="s">
        <v>1540</v>
      </c>
      <c r="I701" s="2">
        <v>1512</v>
      </c>
      <c r="J701" s="2">
        <v>0</v>
      </c>
      <c r="K701" s="8" t="s">
        <v>1277</v>
      </c>
      <c r="L701" s="43" t="s">
        <v>3342</v>
      </c>
      <c r="P701" s="41">
        <v>20</v>
      </c>
      <c r="Q701" s="41">
        <v>8</v>
      </c>
      <c r="R701" s="41">
        <v>61</v>
      </c>
      <c r="S701" t="s">
        <v>3343</v>
      </c>
      <c r="AH701" t="s">
        <v>359</v>
      </c>
    </row>
    <row r="702" spans="1:34" ht="15.75">
      <c r="A702" s="29">
        <f t="shared" si="10"/>
        <v>18711.49644</v>
      </c>
      <c r="B702" s="6">
        <v>975</v>
      </c>
      <c r="C702">
        <v>5</v>
      </c>
      <c r="D702" s="2">
        <v>1817</v>
      </c>
      <c r="E702">
        <v>446</v>
      </c>
      <c r="H702" t="s">
        <v>1540</v>
      </c>
      <c r="I702" s="2">
        <v>0</v>
      </c>
      <c r="J702" s="2">
        <v>2154</v>
      </c>
      <c r="K702" s="2" t="s">
        <v>866</v>
      </c>
      <c r="L702" s="43" t="s">
        <v>5945</v>
      </c>
      <c r="M702" s="41" t="s">
        <v>1543</v>
      </c>
      <c r="N702" s="41" t="s">
        <v>3136</v>
      </c>
      <c r="O702" s="41" t="s">
        <v>5944</v>
      </c>
      <c r="P702" s="41">
        <v>6</v>
      </c>
      <c r="Q702" s="41">
        <v>1</v>
      </c>
      <c r="R702" s="41">
        <v>70</v>
      </c>
      <c r="S702" t="s">
        <v>5946</v>
      </c>
      <c r="T702" t="s">
        <v>1274</v>
      </c>
      <c r="V702" t="s">
        <v>3564</v>
      </c>
      <c r="X702">
        <v>0.434343</v>
      </c>
      <c r="Y702" t="s">
        <v>5944</v>
      </c>
      <c r="AH702" t="s">
        <v>359</v>
      </c>
    </row>
    <row r="703" spans="1:34" ht="15.75">
      <c r="A703" s="29">
        <f t="shared" si="10"/>
        <v>7841</v>
      </c>
      <c r="B703" s="6">
        <v>974</v>
      </c>
      <c r="C703">
        <v>5</v>
      </c>
      <c r="D703" s="2">
        <v>1817</v>
      </c>
      <c r="E703">
        <v>447</v>
      </c>
      <c r="I703" s="2">
        <v>2841</v>
      </c>
      <c r="J703" s="2">
        <v>250</v>
      </c>
      <c r="K703" s="2" t="s">
        <v>866</v>
      </c>
      <c r="L703" s="43" t="s">
        <v>5236</v>
      </c>
      <c r="P703" s="41">
        <v>28</v>
      </c>
      <c r="Q703" s="41">
        <v>5</v>
      </c>
      <c r="R703" s="41">
        <v>55</v>
      </c>
      <c r="S703" t="s">
        <v>3440</v>
      </c>
      <c r="X703">
        <v>1</v>
      </c>
      <c r="Y703" t="s">
        <v>5235</v>
      </c>
      <c r="AH703" t="s">
        <v>359</v>
      </c>
    </row>
    <row r="704" spans="1:34" ht="15.75">
      <c r="A704" s="29">
        <f t="shared" si="10"/>
        <v>43</v>
      </c>
      <c r="B704" s="6">
        <v>974</v>
      </c>
      <c r="C704">
        <v>5</v>
      </c>
      <c r="D704" s="2">
        <v>1817</v>
      </c>
      <c r="E704">
        <v>448</v>
      </c>
      <c r="H704" t="s">
        <v>1540</v>
      </c>
      <c r="I704" s="2">
        <v>43</v>
      </c>
      <c r="J704" s="2">
        <v>0</v>
      </c>
      <c r="K704" s="2" t="s">
        <v>866</v>
      </c>
      <c r="L704" s="43" t="s">
        <v>5238</v>
      </c>
      <c r="P704" s="41">
        <v>17</v>
      </c>
      <c r="Q704" s="41">
        <v>5</v>
      </c>
      <c r="R704" s="41">
        <v>60</v>
      </c>
      <c r="S704" t="s">
        <v>1547</v>
      </c>
      <c r="T704" t="s">
        <v>3339</v>
      </c>
      <c r="AH704" t="s">
        <v>359</v>
      </c>
    </row>
    <row r="705" spans="1:34" ht="15.75">
      <c r="A705" s="29">
        <f t="shared" si="10"/>
        <v>3816</v>
      </c>
      <c r="B705" s="6">
        <v>974</v>
      </c>
      <c r="C705">
        <v>5</v>
      </c>
      <c r="D705" s="2">
        <v>1817</v>
      </c>
      <c r="E705">
        <v>449</v>
      </c>
      <c r="H705" t="s">
        <v>1541</v>
      </c>
      <c r="I705" s="2">
        <v>1316</v>
      </c>
      <c r="J705" s="2">
        <v>125</v>
      </c>
      <c r="K705" s="2" t="s">
        <v>866</v>
      </c>
      <c r="L705" s="43" t="s">
        <v>5238</v>
      </c>
      <c r="P705" s="41">
        <v>7</v>
      </c>
      <c r="Q705" s="41">
        <v>4</v>
      </c>
      <c r="R705" s="41" t="s">
        <v>1547</v>
      </c>
      <c r="S705" t="s">
        <v>1547</v>
      </c>
      <c r="T705" t="s">
        <v>3339</v>
      </c>
      <c r="X705">
        <v>1</v>
      </c>
      <c r="Y705" t="s">
        <v>2983</v>
      </c>
      <c r="AH705" t="s">
        <v>359</v>
      </c>
    </row>
    <row r="706" spans="1:34" ht="15.75">
      <c r="A706" s="29">
        <f aca="true" t="shared" si="11" ref="A706:A769">I706+J706*20*X706</f>
        <v>6626</v>
      </c>
      <c r="B706" s="6">
        <v>974</v>
      </c>
      <c r="C706">
        <v>5</v>
      </c>
      <c r="D706" s="2">
        <v>1817</v>
      </c>
      <c r="E706">
        <v>450</v>
      </c>
      <c r="H706" t="s">
        <v>1541</v>
      </c>
      <c r="I706" s="2">
        <v>6626</v>
      </c>
      <c r="J706" s="2">
        <v>0</v>
      </c>
      <c r="K706" s="2" t="s">
        <v>866</v>
      </c>
      <c r="L706" s="43" t="s">
        <v>5238</v>
      </c>
      <c r="P706" s="41">
        <v>19</v>
      </c>
      <c r="Q706" s="41">
        <v>6</v>
      </c>
      <c r="R706" s="41">
        <v>52</v>
      </c>
      <c r="S706" t="s">
        <v>3329</v>
      </c>
      <c r="AH706" t="s">
        <v>359</v>
      </c>
    </row>
    <row r="707" spans="1:34" ht="15.75">
      <c r="A707" s="29">
        <f t="shared" si="11"/>
        <v>93</v>
      </c>
      <c r="B707" s="6">
        <v>974</v>
      </c>
      <c r="C707">
        <v>5</v>
      </c>
      <c r="D707" s="2">
        <v>1817</v>
      </c>
      <c r="E707">
        <v>451</v>
      </c>
      <c r="H707" t="s">
        <v>1541</v>
      </c>
      <c r="I707" s="2">
        <v>93</v>
      </c>
      <c r="J707" s="2">
        <v>0</v>
      </c>
      <c r="K707" s="2" t="s">
        <v>866</v>
      </c>
      <c r="L707" s="43" t="s">
        <v>5241</v>
      </c>
      <c r="P707" s="41">
        <v>20</v>
      </c>
      <c r="Q707" s="41">
        <v>2</v>
      </c>
      <c r="R707" s="41">
        <v>72</v>
      </c>
      <c r="S707" t="s">
        <v>3329</v>
      </c>
      <c r="AH707" t="s">
        <v>359</v>
      </c>
    </row>
    <row r="708" spans="1:34" ht="15.75">
      <c r="A708" s="29">
        <f t="shared" si="11"/>
        <v>72</v>
      </c>
      <c r="B708" s="6">
        <v>974</v>
      </c>
      <c r="C708">
        <v>5</v>
      </c>
      <c r="D708" s="2">
        <v>1817</v>
      </c>
      <c r="E708">
        <v>452</v>
      </c>
      <c r="H708" t="s">
        <v>1541</v>
      </c>
      <c r="I708" s="2">
        <v>72</v>
      </c>
      <c r="J708" s="2">
        <v>0</v>
      </c>
      <c r="K708" s="2" t="s">
        <v>866</v>
      </c>
      <c r="L708" s="43" t="s">
        <v>5242</v>
      </c>
      <c r="P708" s="41">
        <v>3</v>
      </c>
      <c r="Q708" s="41">
        <v>3</v>
      </c>
      <c r="R708" s="41">
        <v>27</v>
      </c>
      <c r="S708" t="s">
        <v>3343</v>
      </c>
      <c r="AH708" t="s">
        <v>359</v>
      </c>
    </row>
    <row r="709" spans="1:34" ht="15.75">
      <c r="A709" s="29">
        <f t="shared" si="11"/>
        <v>26000</v>
      </c>
      <c r="B709" s="6">
        <v>974</v>
      </c>
      <c r="C709">
        <v>5</v>
      </c>
      <c r="D709" s="2">
        <v>1817</v>
      </c>
      <c r="E709">
        <v>454</v>
      </c>
      <c r="H709" t="s">
        <v>1540</v>
      </c>
      <c r="I709" s="2">
        <v>0</v>
      </c>
      <c r="J709" s="2">
        <v>1300</v>
      </c>
      <c r="K709" s="2" t="s">
        <v>866</v>
      </c>
      <c r="L709" s="43" t="s">
        <v>5937</v>
      </c>
      <c r="M709" s="41" t="s">
        <v>3451</v>
      </c>
      <c r="N709" s="41" t="s">
        <v>5938</v>
      </c>
      <c r="O709" s="41" t="s">
        <v>5932</v>
      </c>
      <c r="P709" s="41">
        <v>11</v>
      </c>
      <c r="Q709" s="41">
        <v>11</v>
      </c>
      <c r="R709" s="41">
        <v>58</v>
      </c>
      <c r="S709" t="s">
        <v>5939</v>
      </c>
      <c r="T709" t="s">
        <v>1274</v>
      </c>
      <c r="V709" t="s">
        <v>5940</v>
      </c>
      <c r="X709">
        <v>1</v>
      </c>
      <c r="Y709" t="s">
        <v>5932</v>
      </c>
      <c r="AA709" t="s">
        <v>5941</v>
      </c>
      <c r="AH709" t="s">
        <v>359</v>
      </c>
    </row>
    <row r="710" spans="1:34" ht="15.75">
      <c r="A710" s="29">
        <f t="shared" si="11"/>
        <v>1500</v>
      </c>
      <c r="B710" s="6">
        <v>974</v>
      </c>
      <c r="C710">
        <v>5</v>
      </c>
      <c r="D710" s="2">
        <v>1817</v>
      </c>
      <c r="E710">
        <v>455</v>
      </c>
      <c r="I710" s="2">
        <v>0</v>
      </c>
      <c r="J710" s="2">
        <v>75</v>
      </c>
      <c r="K710" s="2" t="s">
        <v>866</v>
      </c>
      <c r="L710" s="43" t="s">
        <v>5245</v>
      </c>
      <c r="P710" s="41">
        <v>17</v>
      </c>
      <c r="Q710" s="41">
        <v>1</v>
      </c>
      <c r="R710" s="41">
        <v>35</v>
      </c>
      <c r="S710" t="s">
        <v>3321</v>
      </c>
      <c r="X710" s="47">
        <v>1</v>
      </c>
      <c r="AH710" t="s">
        <v>359</v>
      </c>
    </row>
    <row r="711" spans="1:34" ht="15.75">
      <c r="A711" s="29">
        <f t="shared" si="11"/>
        <v>16025</v>
      </c>
      <c r="B711" s="6">
        <v>974</v>
      </c>
      <c r="C711">
        <v>5</v>
      </c>
      <c r="D711" s="2">
        <v>1817</v>
      </c>
      <c r="E711">
        <v>456</v>
      </c>
      <c r="H711" t="s">
        <v>1540</v>
      </c>
      <c r="I711" s="2">
        <v>16025</v>
      </c>
      <c r="J711" s="2">
        <v>0</v>
      </c>
      <c r="K711" s="2" t="s">
        <v>866</v>
      </c>
      <c r="L711" s="43" t="s">
        <v>5246</v>
      </c>
      <c r="P711" s="41">
        <v>16</v>
      </c>
      <c r="Q711" s="41">
        <v>9</v>
      </c>
      <c r="R711" s="41">
        <v>5</v>
      </c>
      <c r="S711" t="s">
        <v>5247</v>
      </c>
      <c r="AH711" t="s">
        <v>359</v>
      </c>
    </row>
    <row r="712" spans="1:34" ht="15.75">
      <c r="A712" s="29">
        <f t="shared" si="11"/>
        <v>122</v>
      </c>
      <c r="B712" s="6">
        <v>975</v>
      </c>
      <c r="C712">
        <v>5</v>
      </c>
      <c r="D712" s="2">
        <v>1817</v>
      </c>
      <c r="E712">
        <v>457</v>
      </c>
      <c r="H712" t="s">
        <v>1541</v>
      </c>
      <c r="I712" s="2">
        <v>122</v>
      </c>
      <c r="J712" s="2">
        <v>0</v>
      </c>
      <c r="K712" s="2" t="s">
        <v>866</v>
      </c>
      <c r="L712" s="43" t="s">
        <v>5248</v>
      </c>
      <c r="P712" s="41">
        <v>19</v>
      </c>
      <c r="Q712" s="41">
        <v>3</v>
      </c>
      <c r="R712" s="41">
        <v>76</v>
      </c>
      <c r="S712" t="s">
        <v>3343</v>
      </c>
      <c r="AH712" t="s">
        <v>359</v>
      </c>
    </row>
    <row r="713" spans="1:34" ht="15.75">
      <c r="A713" s="29">
        <f t="shared" si="11"/>
        <v>1481</v>
      </c>
      <c r="B713" s="6">
        <v>975</v>
      </c>
      <c r="C713">
        <v>5</v>
      </c>
      <c r="D713" s="2">
        <v>1817</v>
      </c>
      <c r="E713">
        <v>458</v>
      </c>
      <c r="H713" t="s">
        <v>1541</v>
      </c>
      <c r="I713" s="2">
        <v>1481</v>
      </c>
      <c r="J713" s="2">
        <v>0</v>
      </c>
      <c r="K713" s="2" t="s">
        <v>866</v>
      </c>
      <c r="L713" s="43" t="s">
        <v>5248</v>
      </c>
      <c r="P713" s="41">
        <v>1</v>
      </c>
      <c r="Q713" s="41">
        <v>1</v>
      </c>
      <c r="R713" s="41">
        <v>75</v>
      </c>
      <c r="S713" t="s">
        <v>3321</v>
      </c>
      <c r="AH713" t="s">
        <v>359</v>
      </c>
    </row>
    <row r="714" spans="1:34" ht="15.75">
      <c r="A714" s="39">
        <f t="shared" si="11"/>
        <v>10630</v>
      </c>
      <c r="B714" s="6">
        <v>975</v>
      </c>
      <c r="C714">
        <v>5</v>
      </c>
      <c r="D714" s="2">
        <v>1817</v>
      </c>
      <c r="E714">
        <v>459</v>
      </c>
      <c r="H714" t="s">
        <v>1540</v>
      </c>
      <c r="I714" s="2">
        <v>630</v>
      </c>
      <c r="J714" s="2">
        <v>500</v>
      </c>
      <c r="K714" s="2" t="s">
        <v>866</v>
      </c>
      <c r="L714" s="43" t="s">
        <v>5248</v>
      </c>
      <c r="P714" s="41">
        <v>23</v>
      </c>
      <c r="Q714" s="41">
        <v>8</v>
      </c>
      <c r="R714" s="41">
        <v>70</v>
      </c>
      <c r="S714" t="s">
        <v>3324</v>
      </c>
      <c r="X714">
        <v>1</v>
      </c>
      <c r="Y714" t="s">
        <v>5943</v>
      </c>
      <c r="AH714" t="s">
        <v>359</v>
      </c>
    </row>
    <row r="715" spans="1:34" ht="15.75">
      <c r="A715" s="29">
        <f t="shared" si="11"/>
        <v>15413</v>
      </c>
      <c r="B715" s="6">
        <v>975</v>
      </c>
      <c r="C715">
        <v>5</v>
      </c>
      <c r="D715" s="2">
        <v>1817</v>
      </c>
      <c r="E715">
        <v>460</v>
      </c>
      <c r="H715" t="s">
        <v>1540</v>
      </c>
      <c r="I715" s="2">
        <v>3413</v>
      </c>
      <c r="J715" s="2">
        <v>600</v>
      </c>
      <c r="K715" s="2" t="s">
        <v>866</v>
      </c>
      <c r="L715" s="43" t="s">
        <v>5248</v>
      </c>
      <c r="P715" s="41">
        <v>26</v>
      </c>
      <c r="Q715" s="41">
        <v>4</v>
      </c>
      <c r="R715" s="41">
        <v>75</v>
      </c>
      <c r="S715" t="s">
        <v>1547</v>
      </c>
      <c r="X715">
        <v>1</v>
      </c>
      <c r="Y715" t="s">
        <v>5942</v>
      </c>
      <c r="AH715" t="s">
        <v>359</v>
      </c>
    </row>
    <row r="716" spans="1:34" ht="15.75">
      <c r="A716" s="29">
        <f t="shared" si="11"/>
        <v>63</v>
      </c>
      <c r="B716" s="6">
        <v>975</v>
      </c>
      <c r="C716">
        <v>5</v>
      </c>
      <c r="D716" s="2">
        <v>1817</v>
      </c>
      <c r="E716">
        <v>461</v>
      </c>
      <c r="H716" t="s">
        <v>1540</v>
      </c>
      <c r="I716" s="2">
        <v>63</v>
      </c>
      <c r="J716" s="2">
        <v>0</v>
      </c>
      <c r="K716" s="2" t="s">
        <v>866</v>
      </c>
      <c r="L716" s="43" t="s">
        <v>5249</v>
      </c>
      <c r="P716" s="41">
        <v>20</v>
      </c>
      <c r="Q716" s="41">
        <v>10</v>
      </c>
      <c r="R716" s="41">
        <v>59</v>
      </c>
      <c r="S716" t="s">
        <v>4669</v>
      </c>
      <c r="AH716" t="s">
        <v>359</v>
      </c>
    </row>
    <row r="717" spans="1:34" ht="15.75">
      <c r="A717" s="29">
        <f t="shared" si="11"/>
        <v>1898831</v>
      </c>
      <c r="B717" s="6">
        <v>975</v>
      </c>
      <c r="C717">
        <v>5</v>
      </c>
      <c r="D717" s="2">
        <v>1817</v>
      </c>
      <c r="E717">
        <v>462</v>
      </c>
      <c r="H717" t="s">
        <v>1549</v>
      </c>
      <c r="I717" s="2">
        <f>669828+417944+811059</f>
        <v>1898831</v>
      </c>
      <c r="J717" s="2">
        <v>0</v>
      </c>
      <c r="K717" s="2" t="s">
        <v>866</v>
      </c>
      <c r="L717" s="43" t="s">
        <v>5250</v>
      </c>
      <c r="M717" s="41" t="s">
        <v>5251</v>
      </c>
      <c r="N717" s="41" t="s">
        <v>5252</v>
      </c>
      <c r="O717" s="41" t="s">
        <v>5253</v>
      </c>
      <c r="P717" s="41">
        <v>16</v>
      </c>
      <c r="Q717" s="41">
        <v>8</v>
      </c>
      <c r="R717" s="41">
        <v>71</v>
      </c>
      <c r="S717" t="s">
        <v>3343</v>
      </c>
      <c r="T717" t="s">
        <v>5254</v>
      </c>
      <c r="V717" t="s">
        <v>5255</v>
      </c>
      <c r="AH717" t="s">
        <v>359</v>
      </c>
    </row>
    <row r="718" spans="1:34" ht="15.75">
      <c r="A718" s="29">
        <f t="shared" si="11"/>
        <v>94</v>
      </c>
      <c r="B718" s="6">
        <v>975</v>
      </c>
      <c r="C718">
        <v>5</v>
      </c>
      <c r="D718" s="2">
        <v>1817</v>
      </c>
      <c r="E718">
        <v>463</v>
      </c>
      <c r="H718" t="s">
        <v>1541</v>
      </c>
      <c r="I718" s="2">
        <v>94</v>
      </c>
      <c r="J718" s="2">
        <v>0</v>
      </c>
      <c r="K718" s="2" t="s">
        <v>866</v>
      </c>
      <c r="L718" s="43" t="s">
        <v>5256</v>
      </c>
      <c r="P718" s="41">
        <v>24</v>
      </c>
      <c r="Q718" s="41">
        <v>7</v>
      </c>
      <c r="R718" s="41">
        <v>40</v>
      </c>
      <c r="S718" t="s">
        <v>4669</v>
      </c>
      <c r="AH718" t="s">
        <v>359</v>
      </c>
    </row>
    <row r="719" spans="1:34" ht="15.75">
      <c r="A719" s="29">
        <f t="shared" si="11"/>
        <v>3106</v>
      </c>
      <c r="B719" s="6">
        <v>975</v>
      </c>
      <c r="C719">
        <v>5</v>
      </c>
      <c r="D719" s="2">
        <v>1817</v>
      </c>
      <c r="E719">
        <v>464</v>
      </c>
      <c r="H719" t="s">
        <v>1540</v>
      </c>
      <c r="I719" s="2">
        <v>3106</v>
      </c>
      <c r="J719" s="2">
        <v>0</v>
      </c>
      <c r="K719" s="2" t="s">
        <v>866</v>
      </c>
      <c r="L719" s="43" t="s">
        <v>5259</v>
      </c>
      <c r="P719" s="41">
        <v>30</v>
      </c>
      <c r="Q719" s="41">
        <v>8</v>
      </c>
      <c r="R719" s="41">
        <v>75</v>
      </c>
      <c r="S719" t="s">
        <v>4669</v>
      </c>
      <c r="AH719" t="s">
        <v>359</v>
      </c>
    </row>
    <row r="720" spans="1:34" ht="15.75">
      <c r="A720" s="29">
        <f t="shared" si="11"/>
        <v>43751</v>
      </c>
      <c r="B720" s="6">
        <v>975</v>
      </c>
      <c r="C720">
        <v>5</v>
      </c>
      <c r="D720" s="2">
        <v>1817</v>
      </c>
      <c r="E720">
        <v>465</v>
      </c>
      <c r="H720" t="s">
        <v>1540</v>
      </c>
      <c r="I720" s="2">
        <v>7991</v>
      </c>
      <c r="J720" s="2">
        <f>900+888</f>
        <v>1788</v>
      </c>
      <c r="K720" s="2" t="s">
        <v>866</v>
      </c>
      <c r="L720" s="43" t="s">
        <v>5260</v>
      </c>
      <c r="M720" s="41" t="s">
        <v>3137</v>
      </c>
      <c r="N720" s="41" t="s">
        <v>5947</v>
      </c>
      <c r="O720" s="41" t="s">
        <v>5948</v>
      </c>
      <c r="P720" s="41">
        <v>12</v>
      </c>
      <c r="Q720" s="41">
        <v>6</v>
      </c>
      <c r="R720" s="41">
        <v>48</v>
      </c>
      <c r="S720" t="s">
        <v>901</v>
      </c>
      <c r="T720" t="s">
        <v>3156</v>
      </c>
      <c r="V720" t="s">
        <v>902</v>
      </c>
      <c r="X720">
        <v>1</v>
      </c>
      <c r="AH720" t="s">
        <v>359</v>
      </c>
    </row>
    <row r="721" spans="1:34" ht="15.75">
      <c r="A721" s="29">
        <f t="shared" si="11"/>
        <v>262</v>
      </c>
      <c r="B721" s="6">
        <v>976</v>
      </c>
      <c r="C721">
        <v>5</v>
      </c>
      <c r="D721" s="2">
        <v>1817</v>
      </c>
      <c r="E721">
        <v>466</v>
      </c>
      <c r="H721" t="s">
        <v>1540</v>
      </c>
      <c r="I721" s="2">
        <v>262</v>
      </c>
      <c r="J721" s="2">
        <v>0</v>
      </c>
      <c r="K721" s="2" t="s">
        <v>866</v>
      </c>
      <c r="L721" s="43" t="s">
        <v>3344</v>
      </c>
      <c r="P721" s="41">
        <v>1</v>
      </c>
      <c r="Q721" s="41">
        <v>6</v>
      </c>
      <c r="R721" s="41">
        <v>49</v>
      </c>
      <c r="S721" t="s">
        <v>3321</v>
      </c>
      <c r="AH721" t="s">
        <v>359</v>
      </c>
    </row>
    <row r="722" spans="1:34" ht="15.75">
      <c r="A722" s="29">
        <f t="shared" si="11"/>
        <v>154</v>
      </c>
      <c r="B722" s="6">
        <v>976</v>
      </c>
      <c r="C722">
        <v>5</v>
      </c>
      <c r="D722" s="2">
        <v>1817</v>
      </c>
      <c r="E722">
        <v>467</v>
      </c>
      <c r="H722" t="s">
        <v>1541</v>
      </c>
      <c r="I722" s="2">
        <v>154</v>
      </c>
      <c r="J722" s="2">
        <v>0</v>
      </c>
      <c r="K722" s="2" t="s">
        <v>866</v>
      </c>
      <c r="L722" s="43" t="s">
        <v>3345</v>
      </c>
      <c r="P722" s="41">
        <v>29</v>
      </c>
      <c r="Q722" s="41">
        <v>8</v>
      </c>
      <c r="R722" s="41">
        <v>51</v>
      </c>
      <c r="S722" t="s">
        <v>3329</v>
      </c>
      <c r="AH722" t="s">
        <v>359</v>
      </c>
    </row>
    <row r="723" spans="1:34" ht="15.75">
      <c r="A723" s="29">
        <f t="shared" si="11"/>
        <v>35287</v>
      </c>
      <c r="B723" s="6">
        <v>980</v>
      </c>
      <c r="C723">
        <v>5</v>
      </c>
      <c r="D723" s="2">
        <v>1817</v>
      </c>
      <c r="E723">
        <v>468</v>
      </c>
      <c r="H723" t="s">
        <v>1540</v>
      </c>
      <c r="I723" s="2">
        <v>35287</v>
      </c>
      <c r="J723" s="2">
        <v>0</v>
      </c>
      <c r="K723" s="2" t="s">
        <v>866</v>
      </c>
      <c r="L723" s="43" t="s">
        <v>4791</v>
      </c>
      <c r="M723" s="41" t="s">
        <v>4792</v>
      </c>
      <c r="N723" s="41" t="s">
        <v>5805</v>
      </c>
      <c r="O723" s="41" t="s">
        <v>5806</v>
      </c>
      <c r="P723" s="41">
        <v>6</v>
      </c>
      <c r="Q723" s="41">
        <v>8</v>
      </c>
      <c r="R723" s="41">
        <v>74</v>
      </c>
      <c r="S723" t="s">
        <v>5807</v>
      </c>
      <c r="T723" t="s">
        <v>5808</v>
      </c>
      <c r="V723" t="s">
        <v>897</v>
      </c>
      <c r="AH723" t="s">
        <v>359</v>
      </c>
    </row>
    <row r="724" spans="1:34" ht="15.75">
      <c r="A724" s="29">
        <f t="shared" si="11"/>
        <v>33</v>
      </c>
      <c r="B724" s="6">
        <v>976</v>
      </c>
      <c r="C724">
        <v>5</v>
      </c>
      <c r="D724" s="2">
        <v>1817</v>
      </c>
      <c r="E724">
        <v>469</v>
      </c>
      <c r="H724" t="s">
        <v>1541</v>
      </c>
      <c r="I724" s="2">
        <v>33</v>
      </c>
      <c r="J724" s="2">
        <v>0</v>
      </c>
      <c r="K724" s="2" t="s">
        <v>866</v>
      </c>
      <c r="L724" s="43" t="s">
        <v>3349</v>
      </c>
      <c r="P724" s="41">
        <v>1</v>
      </c>
      <c r="Q724" s="41">
        <v>6</v>
      </c>
      <c r="R724" s="41">
        <v>1</v>
      </c>
      <c r="S724" t="s">
        <v>3348</v>
      </c>
      <c r="AH724" t="s">
        <v>359</v>
      </c>
    </row>
    <row r="725" spans="1:34" ht="15.75">
      <c r="A725" s="29">
        <f t="shared" si="11"/>
        <v>152</v>
      </c>
      <c r="B725" s="6">
        <v>976</v>
      </c>
      <c r="C725">
        <v>5</v>
      </c>
      <c r="D725" s="2">
        <v>1817</v>
      </c>
      <c r="E725">
        <v>470</v>
      </c>
      <c r="H725" t="s">
        <v>1541</v>
      </c>
      <c r="I725" s="2">
        <v>152</v>
      </c>
      <c r="J725" s="2">
        <v>0</v>
      </c>
      <c r="K725" s="2" t="s">
        <v>866</v>
      </c>
      <c r="L725" s="43" t="s">
        <v>3349</v>
      </c>
      <c r="P725" s="41">
        <v>10</v>
      </c>
      <c r="Q725" s="41">
        <v>7</v>
      </c>
      <c r="R725" s="41">
        <v>54</v>
      </c>
      <c r="S725" t="s">
        <v>3343</v>
      </c>
      <c r="AH725" t="s">
        <v>359</v>
      </c>
    </row>
    <row r="726" spans="1:34" ht="15.75">
      <c r="A726" s="29">
        <f t="shared" si="11"/>
        <v>1902</v>
      </c>
      <c r="B726" s="6">
        <v>976</v>
      </c>
      <c r="C726">
        <v>5</v>
      </c>
      <c r="D726" s="2">
        <v>1817</v>
      </c>
      <c r="E726">
        <v>472</v>
      </c>
      <c r="H726" t="s">
        <v>1541</v>
      </c>
      <c r="I726" s="2">
        <v>1902</v>
      </c>
      <c r="J726" s="2">
        <v>0</v>
      </c>
      <c r="K726" s="2" t="s">
        <v>866</v>
      </c>
      <c r="L726" s="43" t="s">
        <v>3349</v>
      </c>
      <c r="P726" s="41">
        <v>18</v>
      </c>
      <c r="Q726" s="41">
        <v>3</v>
      </c>
      <c r="R726" s="41">
        <v>59</v>
      </c>
      <c r="S726" t="s">
        <v>3329</v>
      </c>
      <c r="AH726" t="s">
        <v>359</v>
      </c>
    </row>
    <row r="727" spans="1:34" ht="15.75">
      <c r="A727" s="29">
        <f t="shared" si="11"/>
        <v>9307</v>
      </c>
      <c r="B727" s="6">
        <v>976</v>
      </c>
      <c r="C727">
        <v>5</v>
      </c>
      <c r="D727" s="2">
        <v>1817</v>
      </c>
      <c r="E727">
        <v>473</v>
      </c>
      <c r="H727" t="s">
        <v>1541</v>
      </c>
      <c r="I727" s="2">
        <v>9307</v>
      </c>
      <c r="J727" s="2">
        <v>0</v>
      </c>
      <c r="K727" s="2" t="s">
        <v>866</v>
      </c>
      <c r="L727" s="43" t="s">
        <v>3349</v>
      </c>
      <c r="P727" s="41">
        <v>22</v>
      </c>
      <c r="Q727" s="41">
        <v>1</v>
      </c>
      <c r="R727" s="41">
        <v>26</v>
      </c>
      <c r="T727" t="s">
        <v>3350</v>
      </c>
      <c r="AH727" t="s">
        <v>359</v>
      </c>
    </row>
    <row r="728" spans="1:34" ht="15.75">
      <c r="A728" s="29">
        <f t="shared" si="11"/>
        <v>501</v>
      </c>
      <c r="B728" s="6">
        <v>976</v>
      </c>
      <c r="C728">
        <v>5</v>
      </c>
      <c r="D728" s="2">
        <v>1817</v>
      </c>
      <c r="E728">
        <v>474</v>
      </c>
      <c r="H728" t="s">
        <v>1540</v>
      </c>
      <c r="I728" s="2">
        <v>501</v>
      </c>
      <c r="J728" s="2">
        <v>0</v>
      </c>
      <c r="K728" s="2" t="s">
        <v>866</v>
      </c>
      <c r="L728" s="43" t="s">
        <v>3354</v>
      </c>
      <c r="P728" s="41">
        <v>14</v>
      </c>
      <c r="Q728" s="41">
        <v>6</v>
      </c>
      <c r="R728" s="41">
        <v>60</v>
      </c>
      <c r="S728" t="s">
        <v>3321</v>
      </c>
      <c r="AH728" t="s">
        <v>359</v>
      </c>
    </row>
    <row r="729" spans="1:34" ht="15.75">
      <c r="A729" s="29">
        <f t="shared" si="11"/>
        <v>3823</v>
      </c>
      <c r="B729" s="6">
        <v>976</v>
      </c>
      <c r="C729">
        <v>5</v>
      </c>
      <c r="D729" s="2">
        <v>1817</v>
      </c>
      <c r="E729">
        <v>475</v>
      </c>
      <c r="H729" t="s">
        <v>1540</v>
      </c>
      <c r="I729" s="2">
        <v>3823</v>
      </c>
      <c r="J729" s="2">
        <v>0</v>
      </c>
      <c r="K729" s="2" t="s">
        <v>866</v>
      </c>
      <c r="L729" s="43" t="s">
        <v>3353</v>
      </c>
      <c r="P729" s="41">
        <v>11</v>
      </c>
      <c r="Q729" s="41">
        <v>9</v>
      </c>
      <c r="R729" s="41">
        <v>63</v>
      </c>
      <c r="S729" t="s">
        <v>3329</v>
      </c>
      <c r="AH729" t="s">
        <v>359</v>
      </c>
    </row>
    <row r="730" spans="1:34" ht="15.75">
      <c r="A730" s="29">
        <f t="shared" si="11"/>
        <v>431</v>
      </c>
      <c r="B730" s="6">
        <v>977</v>
      </c>
      <c r="C730">
        <v>5</v>
      </c>
      <c r="D730" s="2">
        <v>1817</v>
      </c>
      <c r="E730">
        <v>476</v>
      </c>
      <c r="H730" t="s">
        <v>1540</v>
      </c>
      <c r="I730" s="2">
        <v>431</v>
      </c>
      <c r="J730" s="2">
        <v>0</v>
      </c>
      <c r="K730" s="2" t="s">
        <v>866</v>
      </c>
      <c r="L730" s="43" t="s">
        <v>3355</v>
      </c>
      <c r="P730" s="41">
        <v>24</v>
      </c>
      <c r="Q730" s="41">
        <v>6</v>
      </c>
      <c r="R730" s="41">
        <v>14</v>
      </c>
      <c r="S730" t="s">
        <v>3343</v>
      </c>
      <c r="AH730" t="s">
        <v>359</v>
      </c>
    </row>
    <row r="731" spans="1:34" ht="15.75">
      <c r="A731" s="29">
        <f t="shared" si="11"/>
        <v>7432</v>
      </c>
      <c r="B731" s="6">
        <v>977</v>
      </c>
      <c r="C731">
        <v>5</v>
      </c>
      <c r="D731" s="2">
        <v>1817</v>
      </c>
      <c r="E731">
        <v>477</v>
      </c>
      <c r="H731" t="s">
        <v>1541</v>
      </c>
      <c r="I731" s="2">
        <v>7432</v>
      </c>
      <c r="J731" s="2">
        <v>0</v>
      </c>
      <c r="K731" s="2" t="s">
        <v>866</v>
      </c>
      <c r="L731" s="43" t="s">
        <v>3355</v>
      </c>
      <c r="P731" s="41">
        <v>15</v>
      </c>
      <c r="Q731" s="41">
        <v>6</v>
      </c>
      <c r="R731" s="41">
        <v>23</v>
      </c>
      <c r="S731" t="s">
        <v>3321</v>
      </c>
      <c r="AH731" t="s">
        <v>359</v>
      </c>
    </row>
    <row r="732" spans="1:34" ht="15.75">
      <c r="A732" s="29">
        <f t="shared" si="11"/>
        <v>740</v>
      </c>
      <c r="B732" s="6">
        <v>977</v>
      </c>
      <c r="C732">
        <v>5</v>
      </c>
      <c r="D732" s="2">
        <v>1817</v>
      </c>
      <c r="E732">
        <v>478</v>
      </c>
      <c r="H732" t="s">
        <v>1540</v>
      </c>
      <c r="I732" s="2">
        <v>740</v>
      </c>
      <c r="J732" s="2">
        <v>0</v>
      </c>
      <c r="K732" s="2" t="s">
        <v>866</v>
      </c>
      <c r="L732" s="43" t="s">
        <v>3356</v>
      </c>
      <c r="P732" s="41">
        <v>2</v>
      </c>
      <c r="Q732" s="41">
        <v>1</v>
      </c>
      <c r="R732" s="41">
        <v>76</v>
      </c>
      <c r="S732" t="s">
        <v>3321</v>
      </c>
      <c r="AH732" t="s">
        <v>359</v>
      </c>
    </row>
    <row r="733" spans="1:34" ht="15.75">
      <c r="A733" s="29">
        <f t="shared" si="11"/>
        <v>1332</v>
      </c>
      <c r="B733" s="6">
        <v>977</v>
      </c>
      <c r="C733">
        <v>5</v>
      </c>
      <c r="D733" s="2">
        <v>1817</v>
      </c>
      <c r="E733">
        <v>479</v>
      </c>
      <c r="H733" t="s">
        <v>1540</v>
      </c>
      <c r="I733" s="2">
        <v>1332</v>
      </c>
      <c r="J733" s="2">
        <v>0</v>
      </c>
      <c r="K733" s="2" t="s">
        <v>866</v>
      </c>
      <c r="L733" s="43" t="s">
        <v>3356</v>
      </c>
      <c r="P733" s="41">
        <v>3</v>
      </c>
      <c r="Q733" s="41">
        <v>11</v>
      </c>
      <c r="R733" s="41">
        <v>63</v>
      </c>
      <c r="S733" t="s">
        <v>3321</v>
      </c>
      <c r="AH733" t="s">
        <v>359</v>
      </c>
    </row>
    <row r="734" spans="1:34" ht="15.75">
      <c r="A734" s="29">
        <f t="shared" si="11"/>
        <v>13347.292</v>
      </c>
      <c r="B734" s="6">
        <v>977</v>
      </c>
      <c r="C734">
        <v>5</v>
      </c>
      <c r="D734" s="2">
        <v>1817</v>
      </c>
      <c r="E734">
        <v>480</v>
      </c>
      <c r="H734" t="s">
        <v>1540</v>
      </c>
      <c r="I734" s="2">
        <v>1813</v>
      </c>
      <c r="J734" s="2">
        <v>1387</v>
      </c>
      <c r="K734" s="2" t="s">
        <v>866</v>
      </c>
      <c r="L734" s="43" t="s">
        <v>1258</v>
      </c>
      <c r="M734" s="41" t="s">
        <v>1259</v>
      </c>
      <c r="N734" s="41" t="s">
        <v>1555</v>
      </c>
      <c r="O734" s="41" t="s">
        <v>1493</v>
      </c>
      <c r="P734" s="41">
        <v>6</v>
      </c>
      <c r="Q734" s="41">
        <v>10</v>
      </c>
      <c r="R734" s="41">
        <v>74</v>
      </c>
      <c r="S734" t="s">
        <v>1494</v>
      </c>
      <c r="T734" t="s">
        <v>1258</v>
      </c>
      <c r="V734" t="s">
        <v>1495</v>
      </c>
      <c r="X734">
        <f>0.63*0.66</f>
        <v>0.4158</v>
      </c>
      <c r="Y734" t="s">
        <v>1496</v>
      </c>
      <c r="AH734" t="s">
        <v>359</v>
      </c>
    </row>
    <row r="735" spans="1:34" ht="15.75">
      <c r="A735" s="29">
        <f t="shared" si="11"/>
        <v>147</v>
      </c>
      <c r="B735" s="6">
        <v>977</v>
      </c>
      <c r="C735">
        <v>5</v>
      </c>
      <c r="D735" s="2">
        <v>1817</v>
      </c>
      <c r="E735">
        <v>481</v>
      </c>
      <c r="H735" t="s">
        <v>1540</v>
      </c>
      <c r="I735" s="2">
        <v>147</v>
      </c>
      <c r="J735" s="2">
        <v>0</v>
      </c>
      <c r="K735" s="2" t="s">
        <v>866</v>
      </c>
      <c r="L735" s="43" t="s">
        <v>5761</v>
      </c>
      <c r="P735" s="41">
        <v>22</v>
      </c>
      <c r="Q735" s="41">
        <v>2</v>
      </c>
      <c r="R735" s="41">
        <v>49</v>
      </c>
      <c r="S735" t="s">
        <v>3321</v>
      </c>
      <c r="AH735" t="s">
        <v>359</v>
      </c>
    </row>
    <row r="736" spans="1:34" ht="15.75">
      <c r="A736" s="29">
        <f t="shared" si="11"/>
        <v>39</v>
      </c>
      <c r="B736" s="6">
        <v>977</v>
      </c>
      <c r="C736">
        <v>5</v>
      </c>
      <c r="D736" s="2">
        <v>1817</v>
      </c>
      <c r="E736">
        <v>482</v>
      </c>
      <c r="H736" t="s">
        <v>1540</v>
      </c>
      <c r="I736" s="2">
        <v>39</v>
      </c>
      <c r="J736" s="2">
        <v>0</v>
      </c>
      <c r="K736" s="2" t="s">
        <v>866</v>
      </c>
      <c r="L736" s="43" t="s">
        <v>5762</v>
      </c>
      <c r="P736" s="41">
        <v>12</v>
      </c>
      <c r="Q736" s="41">
        <v>1</v>
      </c>
      <c r="R736" s="41">
        <v>43</v>
      </c>
      <c r="S736" t="s">
        <v>3321</v>
      </c>
      <c r="AH736" t="s">
        <v>359</v>
      </c>
    </row>
    <row r="737" spans="1:34" ht="15.75">
      <c r="A737" s="29">
        <f t="shared" si="11"/>
        <v>735</v>
      </c>
      <c r="B737" s="6">
        <v>977</v>
      </c>
      <c r="C737">
        <v>5</v>
      </c>
      <c r="D737" s="2">
        <v>1817</v>
      </c>
      <c r="E737">
        <v>483</v>
      </c>
      <c r="H737" t="s">
        <v>1540</v>
      </c>
      <c r="I737" s="2">
        <v>735</v>
      </c>
      <c r="J737" s="2">
        <v>0</v>
      </c>
      <c r="K737" s="2" t="s">
        <v>866</v>
      </c>
      <c r="L737" s="43" t="s">
        <v>5762</v>
      </c>
      <c r="P737" s="41">
        <v>9</v>
      </c>
      <c r="Q737" s="41">
        <v>10</v>
      </c>
      <c r="R737" s="41">
        <v>38</v>
      </c>
      <c r="S737" t="s">
        <v>3321</v>
      </c>
      <c r="AH737" t="s">
        <v>359</v>
      </c>
    </row>
    <row r="738" spans="1:34" ht="15.75">
      <c r="A738" s="29">
        <f t="shared" si="11"/>
        <v>1925</v>
      </c>
      <c r="B738" s="6">
        <v>977</v>
      </c>
      <c r="C738">
        <v>5</v>
      </c>
      <c r="D738" s="2">
        <v>1817</v>
      </c>
      <c r="E738">
        <v>484</v>
      </c>
      <c r="H738" t="s">
        <v>1541</v>
      </c>
      <c r="I738" s="2">
        <v>1925</v>
      </c>
      <c r="J738" s="2">
        <v>0</v>
      </c>
      <c r="K738" s="2" t="s">
        <v>866</v>
      </c>
      <c r="L738" s="43" t="s">
        <v>5763</v>
      </c>
      <c r="P738" s="41">
        <v>20</v>
      </c>
      <c r="Q738" s="41">
        <v>12</v>
      </c>
      <c r="R738" s="41">
        <v>51</v>
      </c>
      <c r="S738" t="s">
        <v>3321</v>
      </c>
      <c r="AH738" t="s">
        <v>359</v>
      </c>
    </row>
    <row r="739" spans="1:34" ht="15.75">
      <c r="A739" s="29">
        <f t="shared" si="11"/>
        <v>917</v>
      </c>
      <c r="B739" s="6">
        <v>977</v>
      </c>
      <c r="C739">
        <v>5</v>
      </c>
      <c r="D739" s="2">
        <v>1817</v>
      </c>
      <c r="E739">
        <v>485</v>
      </c>
      <c r="H739" t="s">
        <v>1541</v>
      </c>
      <c r="I739" s="2">
        <v>917</v>
      </c>
      <c r="J739" s="2">
        <v>0</v>
      </c>
      <c r="K739" s="2" t="s">
        <v>866</v>
      </c>
      <c r="L739" s="43" t="s">
        <v>5764</v>
      </c>
      <c r="P739" s="41">
        <v>16</v>
      </c>
      <c r="Q739" s="41">
        <v>11</v>
      </c>
      <c r="R739" s="41">
        <v>49</v>
      </c>
      <c r="S739" t="s">
        <v>3321</v>
      </c>
      <c r="AH739" t="s">
        <v>359</v>
      </c>
    </row>
    <row r="740" spans="1:34" ht="15.75">
      <c r="A740" s="29">
        <f t="shared" si="11"/>
        <v>145</v>
      </c>
      <c r="B740" s="6">
        <v>978</v>
      </c>
      <c r="C740">
        <v>5</v>
      </c>
      <c r="D740" s="2">
        <v>1817</v>
      </c>
      <c r="E740">
        <v>486</v>
      </c>
      <c r="H740" t="s">
        <v>1541</v>
      </c>
      <c r="I740" s="2">
        <v>145</v>
      </c>
      <c r="J740" s="2">
        <v>0</v>
      </c>
      <c r="K740" s="2" t="s">
        <v>866</v>
      </c>
      <c r="L740" s="43" t="s">
        <v>5262</v>
      </c>
      <c r="P740" s="41">
        <v>25</v>
      </c>
      <c r="Q740" s="41">
        <v>10</v>
      </c>
      <c r="R740" s="41">
        <v>42</v>
      </c>
      <c r="S740" t="s">
        <v>3321</v>
      </c>
      <c r="AH740" t="s">
        <v>359</v>
      </c>
    </row>
    <row r="741" spans="1:34" ht="15.75">
      <c r="A741" s="29">
        <f t="shared" si="11"/>
        <v>12898</v>
      </c>
      <c r="B741" s="6">
        <v>978</v>
      </c>
      <c r="C741">
        <v>5</v>
      </c>
      <c r="D741" s="2">
        <v>1817</v>
      </c>
      <c r="E741">
        <v>487</v>
      </c>
      <c r="H741" t="s">
        <v>1541</v>
      </c>
      <c r="I741" s="2">
        <v>898</v>
      </c>
      <c r="J741" s="2">
        <v>600</v>
      </c>
      <c r="K741" s="2" t="s">
        <v>866</v>
      </c>
      <c r="L741" s="43" t="s">
        <v>5262</v>
      </c>
      <c r="P741" s="41">
        <v>3</v>
      </c>
      <c r="Q741" s="41">
        <v>6</v>
      </c>
      <c r="R741" s="41">
        <v>66</v>
      </c>
      <c r="S741" t="s">
        <v>3343</v>
      </c>
      <c r="X741">
        <v>1</v>
      </c>
      <c r="Y741" t="s">
        <v>3127</v>
      </c>
      <c r="AH741" t="s">
        <v>359</v>
      </c>
    </row>
    <row r="742" spans="1:34" ht="15.75">
      <c r="A742" s="29">
        <f t="shared" si="11"/>
        <v>40025</v>
      </c>
      <c r="B742" s="6">
        <v>978</v>
      </c>
      <c r="C742">
        <v>5</v>
      </c>
      <c r="D742" s="2">
        <v>1817</v>
      </c>
      <c r="E742">
        <v>488</v>
      </c>
      <c r="H742" t="s">
        <v>1540</v>
      </c>
      <c r="I742" s="2">
        <v>17525</v>
      </c>
      <c r="J742" s="2">
        <f>18000/20+15000/20+600</f>
        <v>2250</v>
      </c>
      <c r="K742" s="2" t="s">
        <v>866</v>
      </c>
      <c r="L742" s="43" t="s">
        <v>1498</v>
      </c>
      <c r="M742" s="41" t="s">
        <v>1499</v>
      </c>
      <c r="N742" s="41" t="s">
        <v>1500</v>
      </c>
      <c r="O742" s="41" t="s">
        <v>1501</v>
      </c>
      <c r="P742" s="41">
        <v>7</v>
      </c>
      <c r="Q742" s="41">
        <v>12</v>
      </c>
      <c r="R742" s="41">
        <v>56</v>
      </c>
      <c r="S742" t="s">
        <v>1502</v>
      </c>
      <c r="T742" t="s">
        <v>1503</v>
      </c>
      <c r="V742" t="s">
        <v>3373</v>
      </c>
      <c r="X742">
        <v>0.5</v>
      </c>
      <c r="Y742" t="s">
        <v>1497</v>
      </c>
      <c r="AH742" t="s">
        <v>359</v>
      </c>
    </row>
    <row r="743" spans="1:34" ht="15.75">
      <c r="A743" s="29">
        <f t="shared" si="11"/>
        <v>1409</v>
      </c>
      <c r="B743" s="6">
        <v>978</v>
      </c>
      <c r="C743">
        <v>5</v>
      </c>
      <c r="D743" s="2">
        <v>1817</v>
      </c>
      <c r="E743">
        <v>489</v>
      </c>
      <c r="H743" t="s">
        <v>1541</v>
      </c>
      <c r="I743" s="2">
        <v>1409</v>
      </c>
      <c r="J743" s="2">
        <v>0</v>
      </c>
      <c r="K743" s="2" t="s">
        <v>866</v>
      </c>
      <c r="L743" s="43" t="s">
        <v>5265</v>
      </c>
      <c r="P743" s="41">
        <v>8</v>
      </c>
      <c r="Q743" s="41">
        <v>11</v>
      </c>
      <c r="R743" s="41">
        <v>66</v>
      </c>
      <c r="S743" t="s">
        <v>3329</v>
      </c>
      <c r="AH743" t="s">
        <v>359</v>
      </c>
    </row>
    <row r="744" spans="1:34" ht="15.75">
      <c r="A744" s="29">
        <f t="shared" si="11"/>
        <v>37</v>
      </c>
      <c r="B744" s="6">
        <v>978</v>
      </c>
      <c r="C744">
        <v>5</v>
      </c>
      <c r="D744" s="2">
        <v>1817</v>
      </c>
      <c r="E744">
        <v>490</v>
      </c>
      <c r="H744" t="s">
        <v>1541</v>
      </c>
      <c r="I744" s="2">
        <v>37</v>
      </c>
      <c r="J744" s="2">
        <v>0</v>
      </c>
      <c r="K744" s="2" t="s">
        <v>866</v>
      </c>
      <c r="L744" s="43" t="s">
        <v>5266</v>
      </c>
      <c r="P744" s="41">
        <v>25</v>
      </c>
      <c r="Q744" s="41">
        <v>8</v>
      </c>
      <c r="R744" s="41">
        <v>66</v>
      </c>
      <c r="S744" t="s">
        <v>3321</v>
      </c>
      <c r="AH744" t="s">
        <v>359</v>
      </c>
    </row>
    <row r="745" spans="1:34" ht="15.75">
      <c r="A745" s="29">
        <f t="shared" si="11"/>
        <v>1120</v>
      </c>
      <c r="B745" s="6">
        <v>978</v>
      </c>
      <c r="C745">
        <v>5</v>
      </c>
      <c r="D745" s="2">
        <v>1817</v>
      </c>
      <c r="E745">
        <v>491</v>
      </c>
      <c r="H745" t="s">
        <v>1541</v>
      </c>
      <c r="I745" s="2">
        <v>1120</v>
      </c>
      <c r="J745" s="2">
        <v>0</v>
      </c>
      <c r="K745" s="2" t="s">
        <v>866</v>
      </c>
      <c r="L745" s="43" t="s">
        <v>5266</v>
      </c>
      <c r="P745" s="41">
        <v>31</v>
      </c>
      <c r="Q745" s="41">
        <v>12</v>
      </c>
      <c r="R745" s="41">
        <v>64</v>
      </c>
      <c r="S745" t="s">
        <v>3329</v>
      </c>
      <c r="AH745" t="s">
        <v>359</v>
      </c>
    </row>
    <row r="746" spans="1:34" ht="15.75">
      <c r="A746" s="29">
        <f t="shared" si="11"/>
        <v>24</v>
      </c>
      <c r="B746" s="6">
        <v>978</v>
      </c>
      <c r="C746">
        <v>5</v>
      </c>
      <c r="D746" s="2">
        <v>1817</v>
      </c>
      <c r="E746">
        <v>492</v>
      </c>
      <c r="H746" t="s">
        <v>1541</v>
      </c>
      <c r="I746" s="2">
        <v>24</v>
      </c>
      <c r="J746" s="2">
        <v>0</v>
      </c>
      <c r="K746" s="2" t="s">
        <v>866</v>
      </c>
      <c r="L746" s="43" t="s">
        <v>5268</v>
      </c>
      <c r="P746" s="41">
        <v>26</v>
      </c>
      <c r="Q746" s="41">
        <v>4</v>
      </c>
      <c r="R746" s="41">
        <v>74</v>
      </c>
      <c r="S746" t="s">
        <v>3321</v>
      </c>
      <c r="AH746" t="s">
        <v>359</v>
      </c>
    </row>
    <row r="747" spans="1:34" ht="15.75">
      <c r="A747" s="29">
        <f t="shared" si="11"/>
        <v>31</v>
      </c>
      <c r="B747" s="6">
        <v>978</v>
      </c>
      <c r="C747">
        <v>5</v>
      </c>
      <c r="D747" s="2">
        <v>1817</v>
      </c>
      <c r="E747">
        <v>493</v>
      </c>
      <c r="H747" t="s">
        <v>1540</v>
      </c>
      <c r="I747" s="2">
        <v>31</v>
      </c>
      <c r="J747" s="2">
        <v>0</v>
      </c>
      <c r="K747" s="2" t="s">
        <v>866</v>
      </c>
      <c r="L747" s="43" t="s">
        <v>5268</v>
      </c>
      <c r="P747" s="41">
        <v>8</v>
      </c>
      <c r="Q747" s="41">
        <v>11</v>
      </c>
      <c r="R747" s="41">
        <v>49</v>
      </c>
      <c r="S747" t="s">
        <v>3321</v>
      </c>
      <c r="AH747" t="s">
        <v>359</v>
      </c>
    </row>
    <row r="748" spans="1:34" ht="15.75">
      <c r="A748" s="29">
        <f t="shared" si="11"/>
        <v>1708</v>
      </c>
      <c r="B748" s="6">
        <v>978</v>
      </c>
      <c r="C748">
        <v>5</v>
      </c>
      <c r="D748" s="2">
        <v>1817</v>
      </c>
      <c r="E748">
        <v>495</v>
      </c>
      <c r="H748" t="s">
        <v>1541</v>
      </c>
      <c r="I748" s="2">
        <v>1708</v>
      </c>
      <c r="J748" s="2">
        <v>0</v>
      </c>
      <c r="K748" s="2" t="s">
        <v>866</v>
      </c>
      <c r="L748" s="43" t="s">
        <v>5270</v>
      </c>
      <c r="P748" s="41">
        <v>13</v>
      </c>
      <c r="Q748" s="41">
        <v>5</v>
      </c>
      <c r="R748" s="41">
        <v>62</v>
      </c>
      <c r="S748" t="s">
        <v>3321</v>
      </c>
      <c r="AH748" t="s">
        <v>359</v>
      </c>
    </row>
    <row r="749" spans="1:34" ht="15.75">
      <c r="A749" s="29">
        <f t="shared" si="11"/>
        <v>1227</v>
      </c>
      <c r="B749" s="6">
        <v>979</v>
      </c>
      <c r="C749">
        <v>5</v>
      </c>
      <c r="D749" s="2">
        <v>1817</v>
      </c>
      <c r="E749">
        <v>496</v>
      </c>
      <c r="H749" t="s">
        <v>1540</v>
      </c>
      <c r="I749" s="2">
        <f>949+278</f>
        <v>1227</v>
      </c>
      <c r="J749" s="2">
        <v>0</v>
      </c>
      <c r="K749" s="2" t="s">
        <v>866</v>
      </c>
      <c r="L749" s="43" t="s">
        <v>5271</v>
      </c>
      <c r="P749" s="41">
        <v>22</v>
      </c>
      <c r="Q749" s="41">
        <v>1</v>
      </c>
      <c r="R749" s="41">
        <v>51</v>
      </c>
      <c r="S749" t="s">
        <v>3321</v>
      </c>
      <c r="AH749" t="s">
        <v>359</v>
      </c>
    </row>
    <row r="750" spans="1:34" ht="15.75">
      <c r="A750" s="29">
        <f t="shared" si="11"/>
        <v>48275</v>
      </c>
      <c r="B750" s="6">
        <v>979</v>
      </c>
      <c r="C750">
        <v>5</v>
      </c>
      <c r="D750" s="2">
        <v>1817</v>
      </c>
      <c r="E750">
        <v>497</v>
      </c>
      <c r="H750" t="s">
        <v>1540</v>
      </c>
      <c r="I750" s="2">
        <v>48275</v>
      </c>
      <c r="J750" s="2">
        <v>0</v>
      </c>
      <c r="K750" s="2" t="s">
        <v>866</v>
      </c>
      <c r="L750" s="43" t="s">
        <v>1509</v>
      </c>
      <c r="M750" s="41" t="s">
        <v>1510</v>
      </c>
      <c r="N750" s="41" t="s">
        <v>4787</v>
      </c>
      <c r="O750" s="41" t="s">
        <v>4788</v>
      </c>
      <c r="P750" s="41">
        <v>3</v>
      </c>
      <c r="Q750" s="41">
        <v>10</v>
      </c>
      <c r="R750" s="41" t="s">
        <v>1547</v>
      </c>
      <c r="S750" t="s">
        <v>3343</v>
      </c>
      <c r="T750" t="s">
        <v>4789</v>
      </c>
      <c r="V750" t="s">
        <v>4790</v>
      </c>
      <c r="AH750" t="s">
        <v>359</v>
      </c>
    </row>
    <row r="751" spans="1:34" ht="15.75">
      <c r="A751" s="29">
        <f t="shared" si="11"/>
        <v>513</v>
      </c>
      <c r="B751" s="6">
        <v>979</v>
      </c>
      <c r="C751">
        <v>5</v>
      </c>
      <c r="D751" s="2">
        <v>1817</v>
      </c>
      <c r="E751">
        <v>498</v>
      </c>
      <c r="H751" t="s">
        <v>1541</v>
      </c>
      <c r="I751" s="2">
        <v>513</v>
      </c>
      <c r="J751" s="2">
        <v>0</v>
      </c>
      <c r="K751" s="2" t="s">
        <v>866</v>
      </c>
      <c r="L751" s="43" t="s">
        <v>5272</v>
      </c>
      <c r="P751" s="41">
        <v>17</v>
      </c>
      <c r="Q751" s="41">
        <v>10</v>
      </c>
      <c r="R751" s="41">
        <v>50</v>
      </c>
      <c r="S751" t="s">
        <v>3329</v>
      </c>
      <c r="AH751" t="s">
        <v>359</v>
      </c>
    </row>
    <row r="752" spans="1:34" ht="15.75">
      <c r="A752" s="29">
        <f t="shared" si="11"/>
        <v>3733</v>
      </c>
      <c r="B752" s="6">
        <v>979</v>
      </c>
      <c r="C752">
        <v>5</v>
      </c>
      <c r="D752" s="2">
        <v>1817</v>
      </c>
      <c r="E752">
        <v>499</v>
      </c>
      <c r="H752" t="s">
        <v>1541</v>
      </c>
      <c r="I752" s="2">
        <v>3733</v>
      </c>
      <c r="J752" s="2">
        <v>0</v>
      </c>
      <c r="K752" s="2" t="s">
        <v>866</v>
      </c>
      <c r="L752" s="43" t="s">
        <v>5272</v>
      </c>
      <c r="P752" s="41">
        <v>24</v>
      </c>
      <c r="Q752" s="41">
        <v>11</v>
      </c>
      <c r="R752" s="41">
        <v>86</v>
      </c>
      <c r="S752" t="s">
        <v>3329</v>
      </c>
      <c r="AH752" t="s">
        <v>359</v>
      </c>
    </row>
    <row r="753" spans="1:34" ht="15.75">
      <c r="A753" s="29">
        <f t="shared" si="11"/>
        <v>10983</v>
      </c>
      <c r="B753" s="6">
        <v>979</v>
      </c>
      <c r="C753">
        <v>5</v>
      </c>
      <c r="D753" s="2">
        <v>1817</v>
      </c>
      <c r="E753">
        <v>500</v>
      </c>
      <c r="H753" t="s">
        <v>850</v>
      </c>
      <c r="I753" s="2">
        <v>10983</v>
      </c>
      <c r="J753" s="2">
        <v>0</v>
      </c>
      <c r="K753" s="2" t="s">
        <v>866</v>
      </c>
      <c r="L753" s="43" t="s">
        <v>5272</v>
      </c>
      <c r="P753" s="41">
        <v>23</v>
      </c>
      <c r="Q753" s="41">
        <v>6</v>
      </c>
      <c r="R753" s="41" t="s">
        <v>1547</v>
      </c>
      <c r="S753" t="s">
        <v>3321</v>
      </c>
      <c r="AH753" t="s">
        <v>359</v>
      </c>
    </row>
    <row r="754" spans="1:34" ht="15.75">
      <c r="A754" s="29">
        <f t="shared" si="11"/>
        <v>249</v>
      </c>
      <c r="B754" s="6">
        <v>979</v>
      </c>
      <c r="C754">
        <v>5</v>
      </c>
      <c r="D754" s="2">
        <v>1817</v>
      </c>
      <c r="E754">
        <v>502</v>
      </c>
      <c r="H754" t="s">
        <v>1540</v>
      </c>
      <c r="I754" s="2">
        <v>249</v>
      </c>
      <c r="J754" s="2">
        <v>0</v>
      </c>
      <c r="K754" s="2" t="s">
        <v>866</v>
      </c>
      <c r="L754" s="43" t="s">
        <v>5276</v>
      </c>
      <c r="P754" s="41">
        <v>7</v>
      </c>
      <c r="Q754" s="41">
        <v>6</v>
      </c>
      <c r="R754" s="41">
        <v>45</v>
      </c>
      <c r="S754" t="s">
        <v>3321</v>
      </c>
      <c r="AH754" t="s">
        <v>359</v>
      </c>
    </row>
    <row r="755" spans="1:34" ht="15.75">
      <c r="A755" s="29">
        <f t="shared" si="11"/>
        <v>49639</v>
      </c>
      <c r="B755" s="6">
        <v>979</v>
      </c>
      <c r="C755">
        <v>5</v>
      </c>
      <c r="D755" s="2">
        <v>1817</v>
      </c>
      <c r="E755">
        <v>503</v>
      </c>
      <c r="H755" t="s">
        <v>1540</v>
      </c>
      <c r="I755" s="2">
        <v>13639</v>
      </c>
      <c r="J755" s="2">
        <f>200+150+550+900</f>
        <v>1800</v>
      </c>
      <c r="K755" s="2" t="s">
        <v>866</v>
      </c>
      <c r="L755" s="43" t="s">
        <v>1504</v>
      </c>
      <c r="M755" s="41" t="s">
        <v>1252</v>
      </c>
      <c r="N755" s="41" t="s">
        <v>1505</v>
      </c>
      <c r="O755" s="41" t="s">
        <v>1506</v>
      </c>
      <c r="P755" s="41">
        <v>8</v>
      </c>
      <c r="Q755" s="41">
        <v>4</v>
      </c>
      <c r="R755" s="41" t="s">
        <v>1547</v>
      </c>
      <c r="S755" t="s">
        <v>1547</v>
      </c>
      <c r="T755" t="s">
        <v>1507</v>
      </c>
      <c r="V755" t="s">
        <v>1508</v>
      </c>
      <c r="X755">
        <v>1</v>
      </c>
      <c r="Y755" t="s">
        <v>2980</v>
      </c>
      <c r="AH755" t="s">
        <v>359</v>
      </c>
    </row>
    <row r="756" spans="1:34" ht="15.75">
      <c r="A756" s="29">
        <f t="shared" si="11"/>
        <v>26</v>
      </c>
      <c r="B756" s="6">
        <v>980</v>
      </c>
      <c r="C756">
        <v>5</v>
      </c>
      <c r="D756" s="2">
        <v>1817</v>
      </c>
      <c r="E756">
        <v>504</v>
      </c>
      <c r="H756" t="s">
        <v>1540</v>
      </c>
      <c r="I756" s="2">
        <v>26</v>
      </c>
      <c r="J756" s="2">
        <v>0</v>
      </c>
      <c r="K756" s="2" t="s">
        <v>866</v>
      </c>
      <c r="L756" s="43" t="s">
        <v>5277</v>
      </c>
      <c r="P756" s="41">
        <v>21</v>
      </c>
      <c r="Q756" s="41">
        <v>1</v>
      </c>
      <c r="R756" s="41" t="s">
        <v>1547</v>
      </c>
      <c r="S756" t="s">
        <v>3324</v>
      </c>
      <c r="AH756" t="s">
        <v>359</v>
      </c>
    </row>
    <row r="757" spans="1:34" ht="15.75">
      <c r="A757" s="29">
        <f t="shared" si="11"/>
        <v>12000</v>
      </c>
      <c r="B757" s="6">
        <v>980</v>
      </c>
      <c r="C757">
        <v>5</v>
      </c>
      <c r="D757" s="2">
        <v>1817</v>
      </c>
      <c r="E757">
        <v>506</v>
      </c>
      <c r="H757" t="s">
        <v>1540</v>
      </c>
      <c r="I757" s="2">
        <v>0</v>
      </c>
      <c r="J757" s="2">
        <v>600</v>
      </c>
      <c r="K757" s="2" t="s">
        <v>866</v>
      </c>
      <c r="L757" s="43" t="s">
        <v>5279</v>
      </c>
      <c r="O757" s="41" t="s">
        <v>5280</v>
      </c>
      <c r="P757" s="41">
        <v>12</v>
      </c>
      <c r="Q757" s="41">
        <v>2</v>
      </c>
      <c r="R757" s="41" t="s">
        <v>1547</v>
      </c>
      <c r="S757" t="s">
        <v>1547</v>
      </c>
      <c r="X757">
        <v>1</v>
      </c>
      <c r="Y757" t="s">
        <v>5809</v>
      </c>
      <c r="AH757" t="s">
        <v>359</v>
      </c>
    </row>
    <row r="758" spans="1:34" ht="15.75">
      <c r="A758" s="29">
        <f t="shared" si="11"/>
        <v>41</v>
      </c>
      <c r="B758" s="6">
        <v>980</v>
      </c>
      <c r="C758">
        <v>5</v>
      </c>
      <c r="D758" s="2">
        <v>1817</v>
      </c>
      <c r="E758">
        <v>507</v>
      </c>
      <c r="H758" t="s">
        <v>1540</v>
      </c>
      <c r="I758" s="2">
        <v>41</v>
      </c>
      <c r="J758" s="2">
        <v>0</v>
      </c>
      <c r="K758" s="2" t="s">
        <v>866</v>
      </c>
      <c r="L758" s="43" t="s">
        <v>5281</v>
      </c>
      <c r="P758" s="41">
        <v>12</v>
      </c>
      <c r="Q758" s="41">
        <v>6</v>
      </c>
      <c r="R758" s="41">
        <v>79</v>
      </c>
      <c r="S758" t="s">
        <v>3329</v>
      </c>
      <c r="AH758" t="s">
        <v>359</v>
      </c>
    </row>
    <row r="759" spans="1:34" ht="15.75">
      <c r="A759" s="29">
        <f t="shared" si="11"/>
        <v>998</v>
      </c>
      <c r="B759" s="6">
        <v>980</v>
      </c>
      <c r="C759">
        <v>5</v>
      </c>
      <c r="D759" s="2">
        <v>1817</v>
      </c>
      <c r="E759">
        <v>508</v>
      </c>
      <c r="H759" t="s">
        <v>1541</v>
      </c>
      <c r="I759" s="2">
        <v>998</v>
      </c>
      <c r="J759" s="2">
        <v>0</v>
      </c>
      <c r="K759" s="2" t="s">
        <v>866</v>
      </c>
      <c r="L759" s="43" t="s">
        <v>5281</v>
      </c>
      <c r="P759" s="41">
        <v>21</v>
      </c>
      <c r="Q759" s="41">
        <v>9</v>
      </c>
      <c r="R759" s="41">
        <v>28</v>
      </c>
      <c r="S759" t="s">
        <v>3321</v>
      </c>
      <c r="AH759" t="s">
        <v>359</v>
      </c>
    </row>
    <row r="760" spans="1:34" ht="15.75">
      <c r="A760" s="29">
        <f t="shared" si="11"/>
        <v>3857</v>
      </c>
      <c r="B760" s="6">
        <v>980</v>
      </c>
      <c r="C760">
        <v>5</v>
      </c>
      <c r="D760" s="2">
        <v>1817</v>
      </c>
      <c r="E760">
        <v>510</v>
      </c>
      <c r="H760" t="s">
        <v>1541</v>
      </c>
      <c r="I760" s="2">
        <f>3300+557</f>
        <v>3857</v>
      </c>
      <c r="J760" s="2">
        <v>0</v>
      </c>
      <c r="K760" s="2" t="s">
        <v>866</v>
      </c>
      <c r="L760" s="43" t="s">
        <v>5281</v>
      </c>
      <c r="P760" s="41">
        <v>3</v>
      </c>
      <c r="Q760" s="41">
        <v>11</v>
      </c>
      <c r="R760" s="41">
        <v>42</v>
      </c>
      <c r="S760" t="s">
        <v>3321</v>
      </c>
      <c r="AH760" t="s">
        <v>359</v>
      </c>
    </row>
    <row r="761" spans="1:34" ht="15.75">
      <c r="A761" s="29">
        <f t="shared" si="11"/>
        <v>5165</v>
      </c>
      <c r="B761" s="6">
        <v>980</v>
      </c>
      <c r="C761">
        <v>5</v>
      </c>
      <c r="D761" s="2">
        <v>1817</v>
      </c>
      <c r="E761">
        <v>511</v>
      </c>
      <c r="H761" t="s">
        <v>1540</v>
      </c>
      <c r="I761" s="2">
        <v>5165</v>
      </c>
      <c r="J761" s="2">
        <v>0</v>
      </c>
      <c r="K761" s="2" t="s">
        <v>866</v>
      </c>
      <c r="L761" s="43" t="s">
        <v>5281</v>
      </c>
      <c r="P761" s="41">
        <v>17</v>
      </c>
      <c r="Q761" s="41">
        <v>11</v>
      </c>
      <c r="R761" s="41">
        <v>82</v>
      </c>
      <c r="S761" t="s">
        <v>3324</v>
      </c>
      <c r="AH761" t="s">
        <v>359</v>
      </c>
    </row>
    <row r="762" spans="1:34" ht="15.75">
      <c r="A762" s="29">
        <f t="shared" si="11"/>
        <v>3600</v>
      </c>
      <c r="B762" s="6">
        <v>980</v>
      </c>
      <c r="C762">
        <v>5</v>
      </c>
      <c r="D762" s="2">
        <v>1817</v>
      </c>
      <c r="E762">
        <v>512</v>
      </c>
      <c r="H762" t="s">
        <v>1541</v>
      </c>
      <c r="I762" s="2">
        <v>0</v>
      </c>
      <c r="J762" s="2">
        <v>360</v>
      </c>
      <c r="K762" s="2" t="s">
        <v>866</v>
      </c>
      <c r="L762" s="43" t="s">
        <v>5283</v>
      </c>
      <c r="O762" s="41" t="s">
        <v>3015</v>
      </c>
      <c r="P762" s="41">
        <v>26</v>
      </c>
      <c r="Q762" s="41">
        <v>4</v>
      </c>
      <c r="R762" s="41" t="s">
        <v>1547</v>
      </c>
      <c r="S762" t="s">
        <v>3321</v>
      </c>
      <c r="X762">
        <v>0.5</v>
      </c>
      <c r="Y762" t="s">
        <v>1302</v>
      </c>
      <c r="AH762" t="s">
        <v>359</v>
      </c>
    </row>
    <row r="763" spans="1:34" ht="15.75">
      <c r="A763" s="29">
        <f t="shared" si="11"/>
        <v>7589</v>
      </c>
      <c r="B763" s="6">
        <v>980</v>
      </c>
      <c r="C763">
        <v>5</v>
      </c>
      <c r="D763" s="2">
        <v>1817</v>
      </c>
      <c r="E763">
        <v>513</v>
      </c>
      <c r="H763" t="s">
        <v>1541</v>
      </c>
      <c r="I763" s="2">
        <v>7589</v>
      </c>
      <c r="J763" s="2">
        <v>0</v>
      </c>
      <c r="K763" s="2" t="s">
        <v>866</v>
      </c>
      <c r="L763" s="43" t="s">
        <v>5283</v>
      </c>
      <c r="P763" s="41">
        <v>15</v>
      </c>
      <c r="Q763" s="41">
        <v>11</v>
      </c>
      <c r="R763" s="41">
        <v>56</v>
      </c>
      <c r="S763" t="s">
        <v>3321</v>
      </c>
      <c r="AH763" t="s">
        <v>359</v>
      </c>
    </row>
    <row r="764" spans="1:34" ht="15.75">
      <c r="A764" s="29">
        <f t="shared" si="11"/>
        <v>33043</v>
      </c>
      <c r="B764" s="6">
        <v>980</v>
      </c>
      <c r="C764">
        <v>5</v>
      </c>
      <c r="D764" s="2">
        <v>1817</v>
      </c>
      <c r="E764">
        <v>514</v>
      </c>
      <c r="H764" t="s">
        <v>1540</v>
      </c>
      <c r="I764" s="2">
        <v>1043</v>
      </c>
      <c r="J764" s="2">
        <v>1600</v>
      </c>
      <c r="K764" s="2" t="s">
        <v>866</v>
      </c>
      <c r="L764" s="43" t="s">
        <v>5811</v>
      </c>
      <c r="M764" s="41" t="s">
        <v>5812</v>
      </c>
      <c r="N764" s="41" t="s">
        <v>5813</v>
      </c>
      <c r="O764" s="41" t="s">
        <v>5814</v>
      </c>
      <c r="P764" s="41">
        <v>8</v>
      </c>
      <c r="Q764" s="41">
        <v>11</v>
      </c>
      <c r="R764" s="41">
        <v>32</v>
      </c>
      <c r="S764" t="s">
        <v>3343</v>
      </c>
      <c r="T764" t="s">
        <v>1300</v>
      </c>
      <c r="V764" t="s">
        <v>1301</v>
      </c>
      <c r="X764">
        <v>1</v>
      </c>
      <c r="Y764" t="s">
        <v>5810</v>
      </c>
      <c r="AH764" t="s">
        <v>359</v>
      </c>
    </row>
    <row r="765" spans="1:34" ht="15.75">
      <c r="A765" s="29">
        <f t="shared" si="11"/>
        <v>16438</v>
      </c>
      <c r="B765" s="6">
        <v>980</v>
      </c>
      <c r="C765">
        <v>5</v>
      </c>
      <c r="D765" s="2">
        <v>1817</v>
      </c>
      <c r="E765">
        <v>515</v>
      </c>
      <c r="H765" t="s">
        <v>4655</v>
      </c>
      <c r="I765" s="2">
        <v>438</v>
      </c>
      <c r="J765" s="2">
        <v>800</v>
      </c>
      <c r="K765" s="2" t="s">
        <v>866</v>
      </c>
      <c r="L765" s="43" t="s">
        <v>5285</v>
      </c>
      <c r="P765" s="41">
        <v>30</v>
      </c>
      <c r="Q765" s="41">
        <v>5</v>
      </c>
      <c r="R765" s="41">
        <v>41</v>
      </c>
      <c r="S765" t="s">
        <v>3343</v>
      </c>
      <c r="X765">
        <v>1</v>
      </c>
      <c r="Y765" t="s">
        <v>1220</v>
      </c>
      <c r="AH765" t="s">
        <v>359</v>
      </c>
    </row>
    <row r="766" spans="1:34" ht="15.75">
      <c r="A766" s="29">
        <f t="shared" si="11"/>
        <v>65633</v>
      </c>
      <c r="B766" s="6">
        <v>980</v>
      </c>
      <c r="C766">
        <v>5</v>
      </c>
      <c r="D766" s="2">
        <v>1817</v>
      </c>
      <c r="E766">
        <v>517</v>
      </c>
      <c r="H766" t="s">
        <v>1541</v>
      </c>
      <c r="I766" s="2">
        <v>41133</v>
      </c>
      <c r="J766" s="2">
        <f>300+925</f>
        <v>1225</v>
      </c>
      <c r="K766" s="2" t="s">
        <v>866</v>
      </c>
      <c r="L766" s="43" t="s">
        <v>1222</v>
      </c>
      <c r="M766" s="41" t="s">
        <v>4786</v>
      </c>
      <c r="O766" s="41" t="s">
        <v>1223</v>
      </c>
      <c r="P766" s="41">
        <v>8</v>
      </c>
      <c r="Q766" s="41">
        <v>12</v>
      </c>
      <c r="R766" s="41">
        <v>48</v>
      </c>
      <c r="S766" t="s">
        <v>1224</v>
      </c>
      <c r="T766" t="s">
        <v>1225</v>
      </c>
      <c r="V766" t="s">
        <v>1226</v>
      </c>
      <c r="X766">
        <v>1</v>
      </c>
      <c r="Y766" t="s">
        <v>1221</v>
      </c>
      <c r="AH766" t="s">
        <v>359</v>
      </c>
    </row>
    <row r="767" spans="1:34" ht="15.75">
      <c r="A767" s="29">
        <f t="shared" si="11"/>
        <v>3600</v>
      </c>
      <c r="B767" s="6">
        <v>980</v>
      </c>
      <c r="C767">
        <v>5</v>
      </c>
      <c r="D767" s="2">
        <v>1817</v>
      </c>
      <c r="E767">
        <v>518</v>
      </c>
      <c r="H767" t="s">
        <v>1541</v>
      </c>
      <c r="I767" s="2">
        <v>3600</v>
      </c>
      <c r="J767" s="2">
        <v>0</v>
      </c>
      <c r="K767" s="2" t="s">
        <v>866</v>
      </c>
      <c r="L767" s="43" t="s">
        <v>5288</v>
      </c>
      <c r="P767" s="41">
        <v>22</v>
      </c>
      <c r="Q767" s="41">
        <v>9</v>
      </c>
      <c r="R767" s="41">
        <v>31</v>
      </c>
      <c r="S767" t="s">
        <v>3321</v>
      </c>
      <c r="AH767" t="s">
        <v>359</v>
      </c>
    </row>
    <row r="768" spans="1:34" ht="15.75">
      <c r="A768" s="29">
        <f t="shared" si="11"/>
        <v>285</v>
      </c>
      <c r="B768" s="6">
        <v>980</v>
      </c>
      <c r="C768">
        <v>5</v>
      </c>
      <c r="D768" s="2">
        <v>1817</v>
      </c>
      <c r="E768">
        <v>519</v>
      </c>
      <c r="H768" t="s">
        <v>1549</v>
      </c>
      <c r="I768" s="2">
        <v>285</v>
      </c>
      <c r="J768" s="2">
        <v>0</v>
      </c>
      <c r="K768" s="2" t="s">
        <v>866</v>
      </c>
      <c r="L768" s="43" t="s">
        <v>5289</v>
      </c>
      <c r="P768" s="41">
        <v>16</v>
      </c>
      <c r="Q768" s="41">
        <v>8</v>
      </c>
      <c r="R768" s="41">
        <v>42</v>
      </c>
      <c r="S768" t="s">
        <v>3321</v>
      </c>
      <c r="AH768" t="s">
        <v>359</v>
      </c>
    </row>
    <row r="769" spans="1:34" ht="15.75">
      <c r="A769" s="29">
        <f t="shared" si="11"/>
        <v>95875</v>
      </c>
      <c r="B769" s="6">
        <v>981</v>
      </c>
      <c r="C769">
        <v>5</v>
      </c>
      <c r="D769" s="2">
        <v>1817</v>
      </c>
      <c r="E769">
        <v>520</v>
      </c>
      <c r="H769" t="s">
        <v>1540</v>
      </c>
      <c r="I769" s="2">
        <v>95875</v>
      </c>
      <c r="J769" s="2">
        <v>0</v>
      </c>
      <c r="K769" s="2" t="s">
        <v>866</v>
      </c>
      <c r="L769" s="43" t="s">
        <v>1227</v>
      </c>
      <c r="M769" s="41" t="s">
        <v>1228</v>
      </c>
      <c r="O769" s="41" t="s">
        <v>1229</v>
      </c>
      <c r="P769" s="41">
        <v>10</v>
      </c>
      <c r="Q769" s="41">
        <v>6</v>
      </c>
      <c r="R769" s="41">
        <v>74</v>
      </c>
      <c r="S769" t="s">
        <v>1266</v>
      </c>
      <c r="T769" t="s">
        <v>1230</v>
      </c>
      <c r="V769" t="s">
        <v>4648</v>
      </c>
      <c r="AH769" t="s">
        <v>359</v>
      </c>
    </row>
    <row r="770" spans="1:34" ht="15.75">
      <c r="A770" s="29">
        <f aca="true" t="shared" si="12" ref="A770:A833">I770+J770*20*X770</f>
        <v>18738</v>
      </c>
      <c r="B770" s="6">
        <v>981</v>
      </c>
      <c r="C770">
        <v>5</v>
      </c>
      <c r="D770" s="2">
        <v>1817</v>
      </c>
      <c r="E770">
        <v>521</v>
      </c>
      <c r="H770" t="s">
        <v>1540</v>
      </c>
      <c r="I770" s="2">
        <v>6238</v>
      </c>
      <c r="J770" s="2">
        <v>1250</v>
      </c>
      <c r="K770" s="2" t="s">
        <v>866</v>
      </c>
      <c r="L770" s="43" t="s">
        <v>1231</v>
      </c>
      <c r="M770" s="41" t="s">
        <v>3371</v>
      </c>
      <c r="N770" s="41" t="s">
        <v>1555</v>
      </c>
      <c r="O770" s="41" t="s">
        <v>1232</v>
      </c>
      <c r="P770" s="41">
        <v>12</v>
      </c>
      <c r="Q770" s="41">
        <v>7</v>
      </c>
      <c r="R770" s="41">
        <v>65</v>
      </c>
      <c r="S770" t="s">
        <v>1233</v>
      </c>
      <c r="T770" t="s">
        <v>3440</v>
      </c>
      <c r="V770" t="s">
        <v>1234</v>
      </c>
      <c r="X770">
        <v>0.5</v>
      </c>
      <c r="Y770" t="s">
        <v>1232</v>
      </c>
      <c r="AH770" t="s">
        <v>359</v>
      </c>
    </row>
    <row r="771" spans="1:34" ht="15.75">
      <c r="A771" s="29">
        <f t="shared" si="12"/>
        <v>175</v>
      </c>
      <c r="B771" s="6">
        <v>981</v>
      </c>
      <c r="C771">
        <v>5</v>
      </c>
      <c r="D771" s="2">
        <v>1817</v>
      </c>
      <c r="E771">
        <v>522</v>
      </c>
      <c r="H771" t="s">
        <v>1540</v>
      </c>
      <c r="I771" s="2">
        <v>175</v>
      </c>
      <c r="J771" s="2">
        <v>0</v>
      </c>
      <c r="K771" s="2" t="s">
        <v>866</v>
      </c>
      <c r="L771" s="43" t="s">
        <v>5291</v>
      </c>
      <c r="P771" s="41">
        <v>22</v>
      </c>
      <c r="Q771" s="41">
        <v>10</v>
      </c>
      <c r="R771" s="41">
        <v>57</v>
      </c>
      <c r="S771" t="s">
        <v>3321</v>
      </c>
      <c r="AH771" t="s">
        <v>359</v>
      </c>
    </row>
    <row r="772" spans="1:34" ht="15.75">
      <c r="A772" s="29">
        <f t="shared" si="12"/>
        <v>9450</v>
      </c>
      <c r="B772" s="6">
        <v>981</v>
      </c>
      <c r="C772">
        <v>5</v>
      </c>
      <c r="D772" s="2">
        <v>1817</v>
      </c>
      <c r="E772">
        <v>523</v>
      </c>
      <c r="H772" t="s">
        <v>1541</v>
      </c>
      <c r="I772" s="2">
        <f>7352+98</f>
        <v>7450</v>
      </c>
      <c r="J772" s="2">
        <v>400</v>
      </c>
      <c r="K772" s="2" t="s">
        <v>866</v>
      </c>
      <c r="L772" s="43" t="s">
        <v>5291</v>
      </c>
      <c r="P772" s="41">
        <v>29</v>
      </c>
      <c r="Q772" s="41">
        <v>1</v>
      </c>
      <c r="R772" s="41">
        <v>54</v>
      </c>
      <c r="S772" t="s">
        <v>3343</v>
      </c>
      <c r="X772">
        <v>0.25</v>
      </c>
      <c r="Y772" t="s">
        <v>1235</v>
      </c>
      <c r="AH772" t="s">
        <v>359</v>
      </c>
    </row>
    <row r="773" spans="1:34" ht="15.75">
      <c r="A773" s="29">
        <f t="shared" si="12"/>
        <v>263</v>
      </c>
      <c r="B773" s="6">
        <v>981</v>
      </c>
      <c r="C773">
        <v>5</v>
      </c>
      <c r="D773" s="2">
        <v>1817</v>
      </c>
      <c r="E773">
        <v>524</v>
      </c>
      <c r="H773" t="s">
        <v>1541</v>
      </c>
      <c r="I773" s="2">
        <v>263</v>
      </c>
      <c r="J773" s="2">
        <v>0</v>
      </c>
      <c r="K773" s="2" t="s">
        <v>866</v>
      </c>
      <c r="L773" s="43" t="s">
        <v>5292</v>
      </c>
      <c r="P773" s="41">
        <v>20</v>
      </c>
      <c r="Q773" s="41">
        <v>1</v>
      </c>
      <c r="R773" s="41">
        <v>55</v>
      </c>
      <c r="S773" t="s">
        <v>3343</v>
      </c>
      <c r="AH773" t="s">
        <v>359</v>
      </c>
    </row>
    <row r="774" spans="1:34" ht="15.75">
      <c r="A774" s="29">
        <f t="shared" si="12"/>
        <v>1131</v>
      </c>
      <c r="B774" s="6">
        <v>981</v>
      </c>
      <c r="C774">
        <v>5</v>
      </c>
      <c r="D774" s="2">
        <v>1817</v>
      </c>
      <c r="E774">
        <v>525</v>
      </c>
      <c r="H774" t="s">
        <v>1540</v>
      </c>
      <c r="I774" s="2">
        <v>1131</v>
      </c>
      <c r="J774" s="2">
        <v>0</v>
      </c>
      <c r="K774" s="2" t="s">
        <v>866</v>
      </c>
      <c r="L774" s="43" t="s">
        <v>5293</v>
      </c>
      <c r="P774" s="41">
        <v>9</v>
      </c>
      <c r="Q774" s="41">
        <v>1</v>
      </c>
      <c r="R774" s="41">
        <v>54</v>
      </c>
      <c r="S774" t="s">
        <v>3321</v>
      </c>
      <c r="AH774" t="s">
        <v>359</v>
      </c>
    </row>
    <row r="775" spans="1:34" ht="15.75">
      <c r="A775" s="29">
        <f t="shared" si="12"/>
        <v>501</v>
      </c>
      <c r="B775" s="6">
        <v>981</v>
      </c>
      <c r="C775">
        <v>5</v>
      </c>
      <c r="D775" s="2">
        <v>1817</v>
      </c>
      <c r="E775">
        <v>526</v>
      </c>
      <c r="H775" t="s">
        <v>1541</v>
      </c>
      <c r="I775" s="2">
        <v>501</v>
      </c>
      <c r="J775" s="2">
        <v>0</v>
      </c>
      <c r="K775" s="2" t="s">
        <v>866</v>
      </c>
      <c r="L775" s="43" t="s">
        <v>5294</v>
      </c>
      <c r="P775" s="41">
        <v>19</v>
      </c>
      <c r="Q775" s="41">
        <v>7</v>
      </c>
      <c r="R775" s="41">
        <v>51</v>
      </c>
      <c r="S775" t="s">
        <v>3321</v>
      </c>
      <c r="AH775" t="s">
        <v>359</v>
      </c>
    </row>
    <row r="776" spans="1:34" ht="15.75">
      <c r="A776" s="29">
        <f t="shared" si="12"/>
        <v>175</v>
      </c>
      <c r="B776" s="6">
        <v>981</v>
      </c>
      <c r="C776">
        <v>5</v>
      </c>
      <c r="D776" s="2">
        <v>1817</v>
      </c>
      <c r="E776">
        <v>527</v>
      </c>
      <c r="H776" t="s">
        <v>1540</v>
      </c>
      <c r="I776" s="2">
        <v>175</v>
      </c>
      <c r="J776" s="2">
        <v>0</v>
      </c>
      <c r="K776" s="2" t="s">
        <v>866</v>
      </c>
      <c r="L776" s="43" t="s">
        <v>5295</v>
      </c>
      <c r="P776" s="41">
        <v>15</v>
      </c>
      <c r="Q776" s="41">
        <v>2</v>
      </c>
      <c r="R776" s="41">
        <v>23</v>
      </c>
      <c r="S776" t="s">
        <v>1547</v>
      </c>
      <c r="AH776" t="s">
        <v>359</v>
      </c>
    </row>
    <row r="777" spans="1:34" ht="15.75">
      <c r="A777" s="29">
        <f t="shared" si="12"/>
        <v>40</v>
      </c>
      <c r="B777" s="6">
        <v>982</v>
      </c>
      <c r="C777">
        <v>5</v>
      </c>
      <c r="D777" s="2">
        <v>1817</v>
      </c>
      <c r="E777">
        <v>528</v>
      </c>
      <c r="H777" t="s">
        <v>1541</v>
      </c>
      <c r="I777" s="2">
        <v>40</v>
      </c>
      <c r="J777" s="2">
        <v>0</v>
      </c>
      <c r="K777" s="2" t="s">
        <v>867</v>
      </c>
      <c r="L777" s="43" t="s">
        <v>5297</v>
      </c>
      <c r="P777" s="41">
        <v>27</v>
      </c>
      <c r="Q777" s="41">
        <v>8</v>
      </c>
      <c r="R777" s="41">
        <v>36</v>
      </c>
      <c r="S777" t="s">
        <v>3329</v>
      </c>
      <c r="AH777" t="s">
        <v>359</v>
      </c>
    </row>
    <row r="778" spans="1:34" ht="15.75">
      <c r="A778" s="29">
        <f t="shared" si="12"/>
        <v>250</v>
      </c>
      <c r="B778" s="6">
        <v>982</v>
      </c>
      <c r="C778">
        <v>5</v>
      </c>
      <c r="D778" s="2">
        <v>1817</v>
      </c>
      <c r="E778">
        <v>529</v>
      </c>
      <c r="H778" t="s">
        <v>1541</v>
      </c>
      <c r="I778" s="2">
        <v>250</v>
      </c>
      <c r="J778" s="2">
        <v>0</v>
      </c>
      <c r="K778" s="2" t="s">
        <v>867</v>
      </c>
      <c r="L778" s="43" t="s">
        <v>5297</v>
      </c>
      <c r="P778" s="41">
        <v>12</v>
      </c>
      <c r="Q778" s="41">
        <v>12</v>
      </c>
      <c r="R778" s="41">
        <v>60</v>
      </c>
      <c r="S778" t="s">
        <v>3343</v>
      </c>
      <c r="AH778" t="s">
        <v>359</v>
      </c>
    </row>
    <row r="779" spans="1:34" ht="15.75">
      <c r="A779" s="29">
        <f t="shared" si="12"/>
        <v>614</v>
      </c>
      <c r="B779" s="6">
        <v>982</v>
      </c>
      <c r="C779">
        <v>5</v>
      </c>
      <c r="D779" s="2">
        <v>1817</v>
      </c>
      <c r="E779">
        <v>530</v>
      </c>
      <c r="H779" t="s">
        <v>1541</v>
      </c>
      <c r="I779" s="2">
        <v>614</v>
      </c>
      <c r="J779" s="2">
        <v>0</v>
      </c>
      <c r="K779" s="2" t="s">
        <v>867</v>
      </c>
      <c r="L779" s="43" t="s">
        <v>5297</v>
      </c>
      <c r="P779" s="41">
        <v>22</v>
      </c>
      <c r="Q779" s="41">
        <v>9</v>
      </c>
      <c r="R779" s="41" t="s">
        <v>1547</v>
      </c>
      <c r="S779" t="s">
        <v>3329</v>
      </c>
      <c r="AH779" t="s">
        <v>359</v>
      </c>
    </row>
    <row r="780" spans="1:34" ht="15.75">
      <c r="A780" s="29">
        <f t="shared" si="12"/>
        <v>3178</v>
      </c>
      <c r="B780" s="6">
        <v>982</v>
      </c>
      <c r="C780">
        <v>5</v>
      </c>
      <c r="D780" s="2">
        <v>1817</v>
      </c>
      <c r="E780">
        <v>531</v>
      </c>
      <c r="H780" t="s">
        <v>1540</v>
      </c>
      <c r="I780" s="2">
        <v>3178</v>
      </c>
      <c r="J780" s="2">
        <v>0</v>
      </c>
      <c r="K780" s="2" t="s">
        <v>867</v>
      </c>
      <c r="L780" s="43" t="s">
        <v>2895</v>
      </c>
      <c r="P780" s="41">
        <v>24</v>
      </c>
      <c r="Q780" s="41">
        <v>4</v>
      </c>
      <c r="R780" s="41" t="s">
        <v>1547</v>
      </c>
      <c r="S780" t="s">
        <v>1547</v>
      </c>
      <c r="AH780" t="s">
        <v>359</v>
      </c>
    </row>
    <row r="781" spans="1:34" ht="15.75">
      <c r="A781" s="29">
        <f t="shared" si="12"/>
        <v>1924</v>
      </c>
      <c r="B781" s="6">
        <v>982</v>
      </c>
      <c r="C781">
        <v>5</v>
      </c>
      <c r="D781" s="2">
        <v>1817</v>
      </c>
      <c r="E781">
        <v>533</v>
      </c>
      <c r="H781" t="s">
        <v>1541</v>
      </c>
      <c r="I781" s="2">
        <v>1924</v>
      </c>
      <c r="J781" s="2">
        <v>0</v>
      </c>
      <c r="K781" s="2" t="s">
        <v>867</v>
      </c>
      <c r="L781" s="43" t="s">
        <v>2899</v>
      </c>
      <c r="P781" s="41">
        <v>2</v>
      </c>
      <c r="Q781" s="41">
        <v>5</v>
      </c>
      <c r="R781" s="41">
        <v>51</v>
      </c>
      <c r="S781" t="s">
        <v>3321</v>
      </c>
      <c r="AH781" t="s">
        <v>359</v>
      </c>
    </row>
    <row r="782" spans="1:34" ht="15.75">
      <c r="A782" s="29">
        <f t="shared" si="12"/>
        <v>40516</v>
      </c>
      <c r="B782" s="6">
        <v>982</v>
      </c>
      <c r="C782">
        <v>5</v>
      </c>
      <c r="D782" s="2">
        <v>1817</v>
      </c>
      <c r="E782">
        <v>534</v>
      </c>
      <c r="H782" t="s">
        <v>1541</v>
      </c>
      <c r="I782" s="2">
        <v>35516</v>
      </c>
      <c r="J782" s="2">
        <v>500</v>
      </c>
      <c r="K782" s="2" t="s">
        <v>867</v>
      </c>
      <c r="L782" s="43" t="s">
        <v>1236</v>
      </c>
      <c r="M782" s="41" t="s">
        <v>1553</v>
      </c>
      <c r="O782" s="41" t="s">
        <v>1237</v>
      </c>
      <c r="P782" s="41">
        <v>12</v>
      </c>
      <c r="Q782" s="41">
        <v>8</v>
      </c>
      <c r="R782" s="41">
        <v>46</v>
      </c>
      <c r="S782" t="s">
        <v>1238</v>
      </c>
      <c r="T782" t="s">
        <v>882</v>
      </c>
      <c r="V782" t="s">
        <v>3160</v>
      </c>
      <c r="X782">
        <v>0.5</v>
      </c>
      <c r="Y782" t="s">
        <v>1237</v>
      </c>
      <c r="AH782" t="s">
        <v>359</v>
      </c>
    </row>
    <row r="783" spans="1:34" ht="15.75">
      <c r="A783" s="29">
        <f t="shared" si="12"/>
        <v>493</v>
      </c>
      <c r="B783" s="6">
        <v>982</v>
      </c>
      <c r="C783">
        <v>5</v>
      </c>
      <c r="D783" s="2">
        <v>1817</v>
      </c>
      <c r="E783">
        <v>535</v>
      </c>
      <c r="H783" t="s">
        <v>1541</v>
      </c>
      <c r="I783" s="2">
        <v>493</v>
      </c>
      <c r="J783" s="2">
        <v>0</v>
      </c>
      <c r="K783" s="2" t="s">
        <v>867</v>
      </c>
      <c r="L783" s="43" t="s">
        <v>3609</v>
      </c>
      <c r="P783" s="41">
        <v>23</v>
      </c>
      <c r="Q783" s="41">
        <v>3</v>
      </c>
      <c r="R783" s="41">
        <v>64</v>
      </c>
      <c r="S783" t="s">
        <v>3321</v>
      </c>
      <c r="AH783" t="s">
        <v>359</v>
      </c>
    </row>
    <row r="784" spans="1:34" ht="15.75">
      <c r="A784" s="29">
        <f t="shared" si="12"/>
        <v>76</v>
      </c>
      <c r="B784" s="6">
        <v>982</v>
      </c>
      <c r="C784">
        <v>5</v>
      </c>
      <c r="D784" s="2">
        <v>1817</v>
      </c>
      <c r="E784">
        <v>536</v>
      </c>
      <c r="H784" t="s">
        <v>850</v>
      </c>
      <c r="I784" s="2">
        <v>76</v>
      </c>
      <c r="J784" s="2">
        <v>0</v>
      </c>
      <c r="K784" s="2" t="s">
        <v>867</v>
      </c>
      <c r="L784" s="43" t="s">
        <v>3610</v>
      </c>
      <c r="P784" s="41">
        <v>4</v>
      </c>
      <c r="Q784" s="41">
        <v>2</v>
      </c>
      <c r="R784" s="41">
        <v>28</v>
      </c>
      <c r="S784" t="s">
        <v>3329</v>
      </c>
      <c r="AH784" t="s">
        <v>359</v>
      </c>
    </row>
    <row r="785" spans="1:34" ht="15.75">
      <c r="A785" s="29">
        <f t="shared" si="12"/>
        <v>8712</v>
      </c>
      <c r="B785" s="6">
        <v>983</v>
      </c>
      <c r="C785">
        <v>5</v>
      </c>
      <c r="D785" s="2">
        <v>1817</v>
      </c>
      <c r="E785">
        <v>537</v>
      </c>
      <c r="H785" t="s">
        <v>1540</v>
      </c>
      <c r="I785" s="2">
        <f>4200+2012</f>
        <v>6212</v>
      </c>
      <c r="J785" s="2">
        <v>250</v>
      </c>
      <c r="K785" s="2" t="s">
        <v>867</v>
      </c>
      <c r="L785" s="43" t="s">
        <v>3361</v>
      </c>
      <c r="P785" s="41">
        <v>25</v>
      </c>
      <c r="Q785" s="41">
        <v>10</v>
      </c>
      <c r="R785" s="41">
        <v>65</v>
      </c>
      <c r="S785" t="s">
        <v>3321</v>
      </c>
      <c r="X785">
        <v>0.5</v>
      </c>
      <c r="Y785" t="s">
        <v>1246</v>
      </c>
      <c r="AH785" t="s">
        <v>359</v>
      </c>
    </row>
    <row r="786" spans="1:34" ht="15.75">
      <c r="A786" s="29">
        <f t="shared" si="12"/>
        <v>14000</v>
      </c>
      <c r="B786" s="6">
        <v>983</v>
      </c>
      <c r="C786">
        <v>5</v>
      </c>
      <c r="D786" s="2">
        <v>1817</v>
      </c>
      <c r="E786">
        <v>538</v>
      </c>
      <c r="H786" t="s">
        <v>1541</v>
      </c>
      <c r="I786" s="2">
        <v>0</v>
      </c>
      <c r="J786" s="2">
        <f>500+200</f>
        <v>700</v>
      </c>
      <c r="K786" s="2" t="s">
        <v>867</v>
      </c>
      <c r="L786" s="43" t="s">
        <v>3361</v>
      </c>
      <c r="O786" s="41" t="s">
        <v>3612</v>
      </c>
      <c r="P786" s="41">
        <v>13</v>
      </c>
      <c r="Q786" s="41">
        <v>3</v>
      </c>
      <c r="R786" s="41" t="s">
        <v>1547</v>
      </c>
      <c r="S786" t="s">
        <v>1547</v>
      </c>
      <c r="X786">
        <v>1</v>
      </c>
      <c r="Y786" t="s">
        <v>2995</v>
      </c>
      <c r="AH786" t="s">
        <v>359</v>
      </c>
    </row>
    <row r="787" spans="1:34" ht="15.75">
      <c r="A787" s="29">
        <f t="shared" si="12"/>
        <v>9796.5</v>
      </c>
      <c r="B787" s="6">
        <v>983</v>
      </c>
      <c r="C787">
        <v>5</v>
      </c>
      <c r="D787" s="2">
        <v>1817</v>
      </c>
      <c r="E787">
        <v>539</v>
      </c>
      <c r="H787" t="s">
        <v>1540</v>
      </c>
      <c r="I787" s="2">
        <v>0</v>
      </c>
      <c r="J787" s="2">
        <v>2799</v>
      </c>
      <c r="K787" s="2" t="s">
        <v>867</v>
      </c>
      <c r="L787" s="43" t="s">
        <v>1164</v>
      </c>
      <c r="M787" s="41" t="s">
        <v>1543</v>
      </c>
      <c r="N787" s="41" t="s">
        <v>1165</v>
      </c>
      <c r="O787" s="41" t="s">
        <v>1166</v>
      </c>
      <c r="P787" s="41">
        <v>3</v>
      </c>
      <c r="Q787" s="41">
        <v>4</v>
      </c>
      <c r="R787" s="41" t="s">
        <v>1547</v>
      </c>
      <c r="S787" t="s">
        <v>1547</v>
      </c>
      <c r="T787" t="s">
        <v>1167</v>
      </c>
      <c r="V787" t="s">
        <v>1260</v>
      </c>
      <c r="X787">
        <f>0.25*21/30</f>
        <v>0.175</v>
      </c>
      <c r="Y787" t="s">
        <v>1163</v>
      </c>
      <c r="AH787" t="s">
        <v>359</v>
      </c>
    </row>
    <row r="788" spans="1:34" ht="15.75">
      <c r="A788" s="29">
        <f t="shared" si="12"/>
        <v>197</v>
      </c>
      <c r="B788" s="6">
        <v>983</v>
      </c>
      <c r="C788">
        <v>5</v>
      </c>
      <c r="D788" s="2">
        <v>1817</v>
      </c>
      <c r="E788">
        <v>540</v>
      </c>
      <c r="H788" t="s">
        <v>1541</v>
      </c>
      <c r="I788" s="2">
        <v>197</v>
      </c>
      <c r="J788" s="2">
        <v>0</v>
      </c>
      <c r="K788" s="2" t="s">
        <v>867</v>
      </c>
      <c r="L788" s="43" t="s">
        <v>3613</v>
      </c>
      <c r="P788" s="41">
        <v>6</v>
      </c>
      <c r="Q788" s="41">
        <v>2</v>
      </c>
      <c r="R788" s="41">
        <v>47</v>
      </c>
      <c r="S788" t="s">
        <v>3321</v>
      </c>
      <c r="AH788" t="s">
        <v>359</v>
      </c>
    </row>
    <row r="789" spans="1:34" ht="15.75">
      <c r="A789" s="29">
        <f t="shared" si="12"/>
        <v>1753</v>
      </c>
      <c r="B789" s="6">
        <v>983</v>
      </c>
      <c r="C789">
        <v>5</v>
      </c>
      <c r="D789" s="2">
        <v>1817</v>
      </c>
      <c r="E789">
        <v>541</v>
      </c>
      <c r="H789" t="s">
        <v>1540</v>
      </c>
      <c r="I789" s="2">
        <v>753</v>
      </c>
      <c r="J789" s="2">
        <v>500</v>
      </c>
      <c r="K789" s="2" t="s">
        <v>867</v>
      </c>
      <c r="L789" s="43" t="s">
        <v>3615</v>
      </c>
      <c r="P789" s="41">
        <v>1</v>
      </c>
      <c r="Q789" s="41">
        <v>4</v>
      </c>
      <c r="R789" s="41">
        <v>22</v>
      </c>
      <c r="S789" t="s">
        <v>1547</v>
      </c>
      <c r="X789">
        <v>0.1</v>
      </c>
      <c r="Y789" t="s">
        <v>1168</v>
      </c>
      <c r="AH789" t="s">
        <v>359</v>
      </c>
    </row>
    <row r="790" spans="1:34" ht="15.75">
      <c r="A790" s="29">
        <f t="shared" si="12"/>
        <v>227</v>
      </c>
      <c r="B790" s="6">
        <v>983</v>
      </c>
      <c r="C790">
        <v>5</v>
      </c>
      <c r="D790" s="2">
        <v>1817</v>
      </c>
      <c r="E790">
        <v>542</v>
      </c>
      <c r="H790" t="s">
        <v>1540</v>
      </c>
      <c r="I790" s="2">
        <v>227</v>
      </c>
      <c r="J790" s="2">
        <v>0</v>
      </c>
      <c r="K790" s="2" t="s">
        <v>867</v>
      </c>
      <c r="L790" s="43" t="s">
        <v>3616</v>
      </c>
      <c r="P790" s="41">
        <v>22</v>
      </c>
      <c r="Q790" s="41">
        <v>7</v>
      </c>
      <c r="R790" s="41">
        <v>61</v>
      </c>
      <c r="S790" t="s">
        <v>3321</v>
      </c>
      <c r="AH790" t="s">
        <v>359</v>
      </c>
    </row>
    <row r="791" spans="1:34" ht="15.75">
      <c r="A791" s="29">
        <f t="shared" si="12"/>
        <v>1719</v>
      </c>
      <c r="B791" s="6">
        <v>983</v>
      </c>
      <c r="C791">
        <v>5</v>
      </c>
      <c r="D791" s="2">
        <v>1817</v>
      </c>
      <c r="E791">
        <v>543</v>
      </c>
      <c r="H791" t="s">
        <v>1540</v>
      </c>
      <c r="I791" s="2">
        <v>1719</v>
      </c>
      <c r="J791" s="2">
        <v>0</v>
      </c>
      <c r="K791" s="2" t="s">
        <v>867</v>
      </c>
      <c r="L791" s="43" t="s">
        <v>3616</v>
      </c>
      <c r="P791" s="41">
        <v>17</v>
      </c>
      <c r="Q791" s="41">
        <v>7</v>
      </c>
      <c r="R791" s="41" t="s">
        <v>1547</v>
      </c>
      <c r="S791" t="s">
        <v>3321</v>
      </c>
      <c r="AH791" t="s">
        <v>359</v>
      </c>
    </row>
    <row r="792" spans="1:34" ht="15.75">
      <c r="A792" s="29">
        <f t="shared" si="12"/>
        <v>2162</v>
      </c>
      <c r="B792" s="6">
        <v>983</v>
      </c>
      <c r="C792">
        <v>5</v>
      </c>
      <c r="D792" s="2">
        <v>1817</v>
      </c>
      <c r="E792">
        <v>544</v>
      </c>
      <c r="H792" t="s">
        <v>1541</v>
      </c>
      <c r="I792" s="2">
        <f>162+2000</f>
        <v>2162</v>
      </c>
      <c r="J792" s="2">
        <v>0</v>
      </c>
      <c r="K792" s="2" t="s">
        <v>867</v>
      </c>
      <c r="L792" s="43" t="s">
        <v>3616</v>
      </c>
      <c r="P792" s="41">
        <v>23</v>
      </c>
      <c r="Q792" s="41">
        <v>5</v>
      </c>
      <c r="R792" s="41">
        <v>65</v>
      </c>
      <c r="S792" t="s">
        <v>3343</v>
      </c>
      <c r="AH792" t="s">
        <v>359</v>
      </c>
    </row>
    <row r="793" spans="1:34" ht="15.75">
      <c r="A793" s="29">
        <f t="shared" si="12"/>
        <v>38842</v>
      </c>
      <c r="B793" s="6">
        <v>983</v>
      </c>
      <c r="C793">
        <v>5</v>
      </c>
      <c r="D793" s="2">
        <v>1817</v>
      </c>
      <c r="E793">
        <v>546</v>
      </c>
      <c r="H793" t="s">
        <v>1541</v>
      </c>
      <c r="I793" s="2">
        <v>36342</v>
      </c>
      <c r="J793" s="2">
        <v>250</v>
      </c>
      <c r="K793" s="2" t="s">
        <v>867</v>
      </c>
      <c r="L793" s="43" t="s">
        <v>1170</v>
      </c>
      <c r="M793" s="41" t="s">
        <v>4786</v>
      </c>
      <c r="N793" s="41" t="s">
        <v>3453</v>
      </c>
      <c r="O793" s="41" t="s">
        <v>1169</v>
      </c>
      <c r="P793" s="41">
        <v>30</v>
      </c>
      <c r="Q793" s="41">
        <v>5</v>
      </c>
      <c r="R793" s="41" t="s">
        <v>1547</v>
      </c>
      <c r="S793" t="s">
        <v>1171</v>
      </c>
      <c r="T793" t="s">
        <v>1274</v>
      </c>
      <c r="V793" t="s">
        <v>1172</v>
      </c>
      <c r="X793">
        <v>0.5</v>
      </c>
      <c r="Y793" t="s">
        <v>1169</v>
      </c>
      <c r="AH793" t="s">
        <v>359</v>
      </c>
    </row>
    <row r="794" spans="1:34" ht="15.75">
      <c r="A794" s="29">
        <f t="shared" si="12"/>
        <v>3388</v>
      </c>
      <c r="B794" s="6">
        <v>983</v>
      </c>
      <c r="C794">
        <v>5</v>
      </c>
      <c r="D794" s="2">
        <v>1817</v>
      </c>
      <c r="E794">
        <v>547</v>
      </c>
      <c r="H794" t="s">
        <v>1541</v>
      </c>
      <c r="I794" s="2">
        <v>3388</v>
      </c>
      <c r="J794" s="2">
        <v>0</v>
      </c>
      <c r="K794" s="2" t="s">
        <v>867</v>
      </c>
      <c r="L794" s="43" t="s">
        <v>3617</v>
      </c>
      <c r="P794" s="41">
        <v>8</v>
      </c>
      <c r="Q794" s="41">
        <v>5</v>
      </c>
      <c r="R794" s="41" t="s">
        <v>1547</v>
      </c>
      <c r="S794" t="s">
        <v>1547</v>
      </c>
      <c r="AH794" t="s">
        <v>359</v>
      </c>
    </row>
    <row r="795" spans="1:34" ht="15.75">
      <c r="A795" s="29">
        <f t="shared" si="12"/>
        <v>221</v>
      </c>
      <c r="B795" s="6">
        <v>983</v>
      </c>
      <c r="C795">
        <v>5</v>
      </c>
      <c r="D795" s="2">
        <v>1817</v>
      </c>
      <c r="E795">
        <v>548</v>
      </c>
      <c r="H795" t="s">
        <v>1541</v>
      </c>
      <c r="I795" s="2">
        <v>221</v>
      </c>
      <c r="J795" s="2">
        <v>0</v>
      </c>
      <c r="K795" s="2" t="s">
        <v>867</v>
      </c>
      <c r="L795" s="43" t="s">
        <v>3618</v>
      </c>
      <c r="P795" s="41">
        <v>26</v>
      </c>
      <c r="Q795" s="41">
        <v>9</v>
      </c>
      <c r="R795" s="41">
        <v>46</v>
      </c>
      <c r="S795" t="s">
        <v>3343</v>
      </c>
      <c r="AH795" t="s">
        <v>359</v>
      </c>
    </row>
    <row r="796" spans="1:34" ht="15.75">
      <c r="A796" s="29">
        <f t="shared" si="12"/>
        <v>3546</v>
      </c>
      <c r="B796" s="6">
        <v>983</v>
      </c>
      <c r="C796">
        <v>5</v>
      </c>
      <c r="D796" s="2">
        <v>1817</v>
      </c>
      <c r="E796">
        <v>549</v>
      </c>
      <c r="H796" t="s">
        <v>1541</v>
      </c>
      <c r="I796" s="2">
        <v>3546</v>
      </c>
      <c r="J796" s="2">
        <v>0</v>
      </c>
      <c r="K796" s="2" t="s">
        <v>867</v>
      </c>
      <c r="L796" s="43" t="s">
        <v>3618</v>
      </c>
      <c r="P796" s="41">
        <v>28</v>
      </c>
      <c r="Q796" s="41">
        <v>12</v>
      </c>
      <c r="R796" s="41">
        <v>57</v>
      </c>
      <c r="S796" t="s">
        <v>3321</v>
      </c>
      <c r="AH796" t="s">
        <v>359</v>
      </c>
    </row>
    <row r="797" spans="1:34" ht="15.75">
      <c r="A797" s="29">
        <f t="shared" si="12"/>
        <v>395</v>
      </c>
      <c r="B797" s="6">
        <v>984</v>
      </c>
      <c r="C797">
        <v>5</v>
      </c>
      <c r="D797" s="2">
        <v>1817</v>
      </c>
      <c r="E797">
        <v>550</v>
      </c>
      <c r="H797" t="s">
        <v>1541</v>
      </c>
      <c r="I797" s="2">
        <v>395</v>
      </c>
      <c r="J797" s="2">
        <v>0</v>
      </c>
      <c r="K797" s="2" t="s">
        <v>867</v>
      </c>
      <c r="L797" s="43" t="s">
        <v>3619</v>
      </c>
      <c r="P797" s="41">
        <v>22</v>
      </c>
      <c r="Q797" s="41">
        <v>4</v>
      </c>
      <c r="R797" s="41">
        <v>89</v>
      </c>
      <c r="S797" t="s">
        <v>3321</v>
      </c>
      <c r="AH797" t="s">
        <v>359</v>
      </c>
    </row>
    <row r="798" spans="1:34" ht="15.75">
      <c r="A798" s="29">
        <f t="shared" si="12"/>
        <v>1607</v>
      </c>
      <c r="B798" s="6">
        <v>984</v>
      </c>
      <c r="C798">
        <v>5</v>
      </c>
      <c r="D798" s="2">
        <v>1817</v>
      </c>
      <c r="E798">
        <v>551</v>
      </c>
      <c r="H798" t="s">
        <v>1541</v>
      </c>
      <c r="I798" s="2">
        <v>1607</v>
      </c>
      <c r="J798" s="2">
        <v>0</v>
      </c>
      <c r="K798" s="2" t="s">
        <v>867</v>
      </c>
      <c r="L798" s="43" t="s">
        <v>3619</v>
      </c>
      <c r="P798" s="41">
        <v>11</v>
      </c>
      <c r="Q798" s="41">
        <v>6</v>
      </c>
      <c r="R798" s="41" t="s">
        <v>1547</v>
      </c>
      <c r="S798" t="s">
        <v>1547</v>
      </c>
      <c r="AH798" t="s">
        <v>359</v>
      </c>
    </row>
    <row r="799" spans="1:34" ht="15.75">
      <c r="A799" s="29">
        <f t="shared" si="12"/>
        <v>80</v>
      </c>
      <c r="B799" s="6">
        <v>984</v>
      </c>
      <c r="C799">
        <v>5</v>
      </c>
      <c r="D799" s="2">
        <v>1817</v>
      </c>
      <c r="E799">
        <v>553</v>
      </c>
      <c r="H799" t="s">
        <v>1541</v>
      </c>
      <c r="I799" s="2">
        <v>80</v>
      </c>
      <c r="J799" s="2">
        <v>0</v>
      </c>
      <c r="K799" s="2" t="s">
        <v>867</v>
      </c>
      <c r="L799" s="43" t="s">
        <v>3621</v>
      </c>
      <c r="P799" s="41">
        <v>13</v>
      </c>
      <c r="Q799" s="41">
        <v>4</v>
      </c>
      <c r="R799" s="41">
        <v>58</v>
      </c>
      <c r="S799" t="s">
        <v>3321</v>
      </c>
      <c r="AH799" t="s">
        <v>359</v>
      </c>
    </row>
    <row r="800" spans="1:34" ht="15.75">
      <c r="A800" s="29">
        <f t="shared" si="12"/>
        <v>306</v>
      </c>
      <c r="B800" s="6">
        <v>984</v>
      </c>
      <c r="C800">
        <v>5</v>
      </c>
      <c r="D800" s="2">
        <v>1817</v>
      </c>
      <c r="E800">
        <v>554</v>
      </c>
      <c r="H800" t="s">
        <v>1541</v>
      </c>
      <c r="I800" s="2">
        <v>306</v>
      </c>
      <c r="J800" s="2">
        <v>0</v>
      </c>
      <c r="K800" s="2" t="s">
        <v>867</v>
      </c>
      <c r="L800" s="43" t="s">
        <v>3621</v>
      </c>
      <c r="P800" s="41">
        <v>7</v>
      </c>
      <c r="Q800" s="41">
        <v>10</v>
      </c>
      <c r="R800" s="41">
        <v>83</v>
      </c>
      <c r="S800" t="s">
        <v>3329</v>
      </c>
      <c r="AH800" t="s">
        <v>359</v>
      </c>
    </row>
    <row r="801" spans="1:34" ht="15.75">
      <c r="A801" s="29">
        <f t="shared" si="12"/>
        <v>971</v>
      </c>
      <c r="B801" s="6">
        <v>984</v>
      </c>
      <c r="C801">
        <v>5</v>
      </c>
      <c r="D801" s="2">
        <v>1817</v>
      </c>
      <c r="E801">
        <v>555</v>
      </c>
      <c r="H801" t="s">
        <v>1541</v>
      </c>
      <c r="I801" s="2">
        <v>971</v>
      </c>
      <c r="J801" s="2">
        <v>0</v>
      </c>
      <c r="K801" s="2" t="s">
        <v>867</v>
      </c>
      <c r="L801" s="43" t="s">
        <v>3622</v>
      </c>
      <c r="P801" s="41">
        <v>24</v>
      </c>
      <c r="Q801" s="41">
        <v>9</v>
      </c>
      <c r="R801" s="41">
        <v>31</v>
      </c>
      <c r="S801" t="s">
        <v>3321</v>
      </c>
      <c r="AH801" t="s">
        <v>359</v>
      </c>
    </row>
    <row r="802" spans="1:34" ht="15.75">
      <c r="A802" s="29">
        <f t="shared" si="12"/>
        <v>41974</v>
      </c>
      <c r="B802" s="6">
        <v>985</v>
      </c>
      <c r="C802">
        <v>5</v>
      </c>
      <c r="D802" s="2">
        <v>1817</v>
      </c>
      <c r="E802">
        <v>556</v>
      </c>
      <c r="H802" t="s">
        <v>1540</v>
      </c>
      <c r="I802" s="2">
        <v>41974</v>
      </c>
      <c r="J802" s="2">
        <v>0</v>
      </c>
      <c r="K802" s="2" t="s">
        <v>867</v>
      </c>
      <c r="L802" s="43" t="s">
        <v>1173</v>
      </c>
      <c r="M802" s="41" t="s">
        <v>3451</v>
      </c>
      <c r="N802" s="41" t="s">
        <v>1174</v>
      </c>
      <c r="O802" s="41" t="s">
        <v>1175</v>
      </c>
      <c r="P802" s="41">
        <v>12</v>
      </c>
      <c r="Q802" s="41">
        <v>4</v>
      </c>
      <c r="R802" s="41">
        <v>86</v>
      </c>
      <c r="S802" t="s">
        <v>1176</v>
      </c>
      <c r="T802" t="s">
        <v>1177</v>
      </c>
      <c r="V802" t="s">
        <v>1178</v>
      </c>
      <c r="AH802" t="s">
        <v>359</v>
      </c>
    </row>
    <row r="803" spans="1:34" ht="15.75">
      <c r="A803" s="29">
        <f t="shared" si="12"/>
        <v>341</v>
      </c>
      <c r="B803" s="6">
        <v>985</v>
      </c>
      <c r="C803">
        <v>5</v>
      </c>
      <c r="D803" s="2">
        <v>1817</v>
      </c>
      <c r="E803">
        <v>557</v>
      </c>
      <c r="H803" t="s">
        <v>1541</v>
      </c>
      <c r="I803" s="2">
        <v>341</v>
      </c>
      <c r="J803" s="2">
        <v>0</v>
      </c>
      <c r="K803" s="2" t="s">
        <v>867</v>
      </c>
      <c r="L803" s="43" t="s">
        <v>3624</v>
      </c>
      <c r="P803" s="41">
        <v>15</v>
      </c>
      <c r="Q803" s="41">
        <v>10</v>
      </c>
      <c r="R803" s="41">
        <v>71</v>
      </c>
      <c r="S803" t="s">
        <v>3343</v>
      </c>
      <c r="AH803" t="s">
        <v>359</v>
      </c>
    </row>
    <row r="804" spans="1:34" ht="15.75">
      <c r="A804" s="29">
        <f t="shared" si="12"/>
        <v>29</v>
      </c>
      <c r="B804" s="6">
        <v>985</v>
      </c>
      <c r="C804">
        <v>5</v>
      </c>
      <c r="D804" s="2">
        <v>1817</v>
      </c>
      <c r="E804">
        <v>558</v>
      </c>
      <c r="H804" t="s">
        <v>1540</v>
      </c>
      <c r="I804" s="2">
        <v>29</v>
      </c>
      <c r="J804" s="2">
        <v>0</v>
      </c>
      <c r="K804" s="2" t="s">
        <v>867</v>
      </c>
      <c r="L804" s="43" t="s">
        <v>3625</v>
      </c>
      <c r="P804" s="41">
        <v>16</v>
      </c>
      <c r="Q804" s="41">
        <v>4</v>
      </c>
      <c r="R804" s="41">
        <v>34</v>
      </c>
      <c r="S804" t="s">
        <v>1547</v>
      </c>
      <c r="AH804" t="s">
        <v>359</v>
      </c>
    </row>
    <row r="805" spans="1:34" ht="15.75">
      <c r="A805" s="29">
        <f t="shared" si="12"/>
        <v>58</v>
      </c>
      <c r="B805" s="6">
        <v>985</v>
      </c>
      <c r="C805">
        <v>5</v>
      </c>
      <c r="D805" s="2">
        <v>1817</v>
      </c>
      <c r="E805">
        <v>559</v>
      </c>
      <c r="H805" t="s">
        <v>850</v>
      </c>
      <c r="I805" s="2">
        <v>58</v>
      </c>
      <c r="J805" s="2">
        <v>0</v>
      </c>
      <c r="K805" s="2" t="s">
        <v>867</v>
      </c>
      <c r="L805" s="43" t="s">
        <v>3625</v>
      </c>
      <c r="P805" s="41">
        <v>25</v>
      </c>
      <c r="Q805" s="41">
        <v>1</v>
      </c>
      <c r="R805" s="41">
        <v>73</v>
      </c>
      <c r="S805" t="s">
        <v>1547</v>
      </c>
      <c r="AH805" t="s">
        <v>359</v>
      </c>
    </row>
    <row r="806" spans="1:34" ht="15.75">
      <c r="A806" s="29">
        <f t="shared" si="12"/>
        <v>82</v>
      </c>
      <c r="B806" s="6">
        <v>985</v>
      </c>
      <c r="C806">
        <v>5</v>
      </c>
      <c r="D806" s="2">
        <v>1817</v>
      </c>
      <c r="E806">
        <v>560</v>
      </c>
      <c r="H806" t="s">
        <v>1541</v>
      </c>
      <c r="I806" s="2">
        <v>82</v>
      </c>
      <c r="J806" s="2">
        <v>0</v>
      </c>
      <c r="K806" s="2" t="s">
        <v>867</v>
      </c>
      <c r="L806" s="43" t="s">
        <v>3625</v>
      </c>
      <c r="P806" s="41">
        <v>15</v>
      </c>
      <c r="Q806" s="41">
        <v>10</v>
      </c>
      <c r="R806" s="41">
        <v>33</v>
      </c>
      <c r="S806" t="s">
        <v>3321</v>
      </c>
      <c r="AH806" t="s">
        <v>359</v>
      </c>
    </row>
    <row r="807" spans="1:34" ht="15.75">
      <c r="A807" s="29">
        <f t="shared" si="12"/>
        <v>5461</v>
      </c>
      <c r="B807" s="6">
        <v>985</v>
      </c>
      <c r="C807">
        <v>5</v>
      </c>
      <c r="D807" s="2">
        <v>1817</v>
      </c>
      <c r="E807">
        <v>561</v>
      </c>
      <c r="H807" t="s">
        <v>1541</v>
      </c>
      <c r="I807" s="2">
        <v>5461</v>
      </c>
      <c r="J807" s="2">
        <v>0</v>
      </c>
      <c r="K807" s="2" t="s">
        <v>867</v>
      </c>
      <c r="L807" s="43" t="s">
        <v>3625</v>
      </c>
      <c r="P807" s="41">
        <v>19</v>
      </c>
      <c r="Q807" s="41">
        <v>12</v>
      </c>
      <c r="R807" s="41">
        <v>33</v>
      </c>
      <c r="S807" t="s">
        <v>3321</v>
      </c>
      <c r="AH807" t="s">
        <v>359</v>
      </c>
    </row>
    <row r="808" spans="1:34" ht="15.75">
      <c r="A808" s="29">
        <f t="shared" si="12"/>
        <v>8071</v>
      </c>
      <c r="B808" s="6">
        <v>985</v>
      </c>
      <c r="C808">
        <v>5</v>
      </c>
      <c r="D808" s="2">
        <v>1817</v>
      </c>
      <c r="E808">
        <v>562</v>
      </c>
      <c r="H808" t="s">
        <v>1541</v>
      </c>
      <c r="I808" s="2">
        <v>8071</v>
      </c>
      <c r="J808" s="2">
        <v>0</v>
      </c>
      <c r="K808" s="2" t="s">
        <v>867</v>
      </c>
      <c r="L808" s="43" t="s">
        <v>3625</v>
      </c>
      <c r="P808" s="41">
        <v>29</v>
      </c>
      <c r="Q808" s="41">
        <v>6</v>
      </c>
      <c r="R808" s="41">
        <v>60</v>
      </c>
      <c r="S808" t="s">
        <v>3321</v>
      </c>
      <c r="AH808" t="s">
        <v>359</v>
      </c>
    </row>
    <row r="809" spans="1:34" ht="15.75">
      <c r="A809" s="29">
        <f t="shared" si="12"/>
        <v>10072</v>
      </c>
      <c r="B809" s="6">
        <v>985</v>
      </c>
      <c r="C809">
        <v>5</v>
      </c>
      <c r="D809" s="2">
        <v>1817</v>
      </c>
      <c r="E809">
        <v>563</v>
      </c>
      <c r="H809" t="s">
        <v>1540</v>
      </c>
      <c r="I809" s="2">
        <v>72</v>
      </c>
      <c r="J809" s="2">
        <v>500</v>
      </c>
      <c r="K809" s="2" t="s">
        <v>867</v>
      </c>
      <c r="L809" s="43" t="s">
        <v>3625</v>
      </c>
      <c r="P809" s="41">
        <v>5</v>
      </c>
      <c r="Q809" s="41">
        <v>4</v>
      </c>
      <c r="R809" s="41">
        <v>73</v>
      </c>
      <c r="S809" t="s">
        <v>3329</v>
      </c>
      <c r="X809">
        <v>1</v>
      </c>
      <c r="Y809" t="s">
        <v>1179</v>
      </c>
      <c r="AH809" t="s">
        <v>359</v>
      </c>
    </row>
    <row r="810" spans="1:34" ht="15.75">
      <c r="A810" s="29">
        <f t="shared" si="12"/>
        <v>40467</v>
      </c>
      <c r="B810" s="6">
        <v>985</v>
      </c>
      <c r="C810">
        <v>5</v>
      </c>
      <c r="D810" s="2">
        <v>1817</v>
      </c>
      <c r="E810">
        <v>564</v>
      </c>
      <c r="H810" t="s">
        <v>1541</v>
      </c>
      <c r="I810" s="2">
        <v>20467</v>
      </c>
      <c r="J810" s="2">
        <v>2000</v>
      </c>
      <c r="K810" s="2" t="s">
        <v>867</v>
      </c>
      <c r="L810" s="43" t="s">
        <v>1206</v>
      </c>
      <c r="M810" s="41" t="s">
        <v>1207</v>
      </c>
      <c r="N810" s="41" t="s">
        <v>1555</v>
      </c>
      <c r="O810" s="41" t="s">
        <v>1208</v>
      </c>
      <c r="P810" s="41">
        <v>11</v>
      </c>
      <c r="Q810" s="41">
        <v>12</v>
      </c>
      <c r="R810" s="41">
        <v>66</v>
      </c>
      <c r="S810" t="s">
        <v>1209</v>
      </c>
      <c r="T810" t="s">
        <v>1274</v>
      </c>
      <c r="V810" t="s">
        <v>1548</v>
      </c>
      <c r="X810">
        <v>0.5</v>
      </c>
      <c r="Y810" t="s">
        <v>1180</v>
      </c>
      <c r="AH810" t="s">
        <v>359</v>
      </c>
    </row>
    <row r="811" spans="1:34" ht="15.75">
      <c r="A811" s="29">
        <f t="shared" si="12"/>
        <v>217</v>
      </c>
      <c r="B811" s="6">
        <v>985</v>
      </c>
      <c r="C811">
        <v>5</v>
      </c>
      <c r="D811" s="2">
        <v>1817</v>
      </c>
      <c r="E811">
        <v>565</v>
      </c>
      <c r="H811" t="s">
        <v>1540</v>
      </c>
      <c r="I811" s="2">
        <v>217</v>
      </c>
      <c r="J811" s="2">
        <v>0</v>
      </c>
      <c r="K811" s="2" t="s">
        <v>867</v>
      </c>
      <c r="L811" s="43" t="s">
        <v>3626</v>
      </c>
      <c r="P811" s="41">
        <v>27</v>
      </c>
      <c r="Q811" s="41">
        <v>10</v>
      </c>
      <c r="R811" s="41">
        <v>68</v>
      </c>
      <c r="S811" t="s">
        <v>3343</v>
      </c>
      <c r="AH811" t="s">
        <v>359</v>
      </c>
    </row>
    <row r="812" spans="1:34" ht="15.75">
      <c r="A812" s="29">
        <f t="shared" si="12"/>
        <v>203</v>
      </c>
      <c r="B812" s="6">
        <v>985</v>
      </c>
      <c r="C812">
        <v>5</v>
      </c>
      <c r="D812" s="2">
        <v>1817</v>
      </c>
      <c r="E812">
        <v>566</v>
      </c>
      <c r="H812" t="s">
        <v>1541</v>
      </c>
      <c r="I812" s="2">
        <v>203</v>
      </c>
      <c r="J812" s="2">
        <v>0</v>
      </c>
      <c r="K812" s="2" t="s">
        <v>867</v>
      </c>
      <c r="L812" s="43" t="s">
        <v>3627</v>
      </c>
      <c r="P812" s="41">
        <v>24</v>
      </c>
      <c r="Q812" s="41">
        <v>10</v>
      </c>
      <c r="R812" s="41" t="s">
        <v>1547</v>
      </c>
      <c r="S812" t="s">
        <v>3343</v>
      </c>
      <c r="AH812" t="s">
        <v>359</v>
      </c>
    </row>
    <row r="813" spans="1:34" ht="15.75">
      <c r="A813" s="29">
        <f t="shared" si="12"/>
        <v>370</v>
      </c>
      <c r="B813" s="6">
        <v>985</v>
      </c>
      <c r="C813">
        <v>5</v>
      </c>
      <c r="D813" s="2">
        <v>1817</v>
      </c>
      <c r="E813">
        <v>567</v>
      </c>
      <c r="H813" t="s">
        <v>1540</v>
      </c>
      <c r="I813" s="2">
        <v>370</v>
      </c>
      <c r="J813" s="2">
        <v>0</v>
      </c>
      <c r="K813" s="2" t="s">
        <v>867</v>
      </c>
      <c r="L813" s="43" t="s">
        <v>3627</v>
      </c>
      <c r="P813" s="41">
        <v>3</v>
      </c>
      <c r="Q813" s="41">
        <v>2</v>
      </c>
      <c r="R813" s="41">
        <v>45</v>
      </c>
      <c r="S813" t="s">
        <v>3343</v>
      </c>
      <c r="AH813" t="s">
        <v>359</v>
      </c>
    </row>
    <row r="814" spans="1:34" ht="15.75">
      <c r="A814" s="29">
        <f t="shared" si="12"/>
        <v>2500</v>
      </c>
      <c r="B814" s="6">
        <v>985</v>
      </c>
      <c r="C814">
        <v>5</v>
      </c>
      <c r="D814" s="2">
        <v>1817</v>
      </c>
      <c r="E814">
        <v>568</v>
      </c>
      <c r="H814" t="s">
        <v>1541</v>
      </c>
      <c r="I814" s="2">
        <v>2500</v>
      </c>
      <c r="J814" s="2">
        <v>0</v>
      </c>
      <c r="K814" s="2" t="s">
        <v>867</v>
      </c>
      <c r="L814" s="43" t="s">
        <v>3627</v>
      </c>
      <c r="P814" s="41">
        <v>9</v>
      </c>
      <c r="Q814" s="41">
        <v>10</v>
      </c>
      <c r="R814" s="41">
        <v>63</v>
      </c>
      <c r="S814" t="s">
        <v>3321</v>
      </c>
      <c r="AH814" t="s">
        <v>359</v>
      </c>
    </row>
    <row r="815" spans="1:34" ht="15.75">
      <c r="A815" s="29">
        <f t="shared" si="12"/>
        <v>12500</v>
      </c>
      <c r="B815" s="6">
        <v>985</v>
      </c>
      <c r="C815">
        <v>5</v>
      </c>
      <c r="D815" s="2">
        <v>1817</v>
      </c>
      <c r="E815">
        <v>569</v>
      </c>
      <c r="H815" t="s">
        <v>1541</v>
      </c>
      <c r="I815" s="2">
        <v>0</v>
      </c>
      <c r="J815" s="2">
        <v>625</v>
      </c>
      <c r="K815" s="2" t="s">
        <v>867</v>
      </c>
      <c r="L815" s="43" t="s">
        <v>3627</v>
      </c>
      <c r="X815">
        <v>1</v>
      </c>
      <c r="Y815" t="s">
        <v>1210</v>
      </c>
      <c r="AH815" t="s">
        <v>359</v>
      </c>
    </row>
    <row r="816" spans="1:34" ht="15.75">
      <c r="A816" s="29">
        <f t="shared" si="12"/>
        <v>143</v>
      </c>
      <c r="B816" s="6">
        <v>986</v>
      </c>
      <c r="C816">
        <v>5</v>
      </c>
      <c r="D816" s="2">
        <v>1817</v>
      </c>
      <c r="E816">
        <v>570</v>
      </c>
      <c r="H816" t="s">
        <v>1540</v>
      </c>
      <c r="I816" s="2">
        <v>143</v>
      </c>
      <c r="J816" s="2">
        <v>0</v>
      </c>
      <c r="K816" s="2" t="s">
        <v>867</v>
      </c>
      <c r="L816" s="43" t="s">
        <v>3347</v>
      </c>
      <c r="P816" s="41">
        <v>17</v>
      </c>
      <c r="Q816" s="41">
        <v>11</v>
      </c>
      <c r="R816" s="41">
        <v>63</v>
      </c>
      <c r="S816" t="s">
        <v>1547</v>
      </c>
      <c r="AH816" t="s">
        <v>359</v>
      </c>
    </row>
    <row r="817" spans="1:34" ht="15.75">
      <c r="A817" s="29">
        <f t="shared" si="12"/>
        <v>14405</v>
      </c>
      <c r="B817" s="6">
        <v>986</v>
      </c>
      <c r="C817">
        <v>5</v>
      </c>
      <c r="D817" s="2">
        <v>1817</v>
      </c>
      <c r="E817">
        <v>571</v>
      </c>
      <c r="H817" t="s">
        <v>1541</v>
      </c>
      <c r="I817" s="2">
        <v>14405</v>
      </c>
      <c r="J817" s="2">
        <v>0</v>
      </c>
      <c r="K817" s="2" t="s">
        <v>867</v>
      </c>
      <c r="L817" s="43" t="s">
        <v>3347</v>
      </c>
      <c r="P817" s="41">
        <v>26</v>
      </c>
      <c r="Q817" s="41">
        <v>1</v>
      </c>
      <c r="R817" s="41">
        <v>74</v>
      </c>
      <c r="S817" t="s">
        <v>3329</v>
      </c>
      <c r="AH817" t="s">
        <v>359</v>
      </c>
    </row>
    <row r="818" spans="1:34" ht="15.75">
      <c r="A818" s="29">
        <f t="shared" si="12"/>
        <v>100</v>
      </c>
      <c r="B818" s="6">
        <v>986</v>
      </c>
      <c r="C818">
        <v>5</v>
      </c>
      <c r="D818" s="2">
        <v>1817</v>
      </c>
      <c r="E818">
        <v>572</v>
      </c>
      <c r="H818" t="s">
        <v>850</v>
      </c>
      <c r="I818" s="2">
        <v>100</v>
      </c>
      <c r="J818" s="2">
        <v>0</v>
      </c>
      <c r="K818" s="2" t="s">
        <v>867</v>
      </c>
      <c r="L818" s="43" t="s">
        <v>3628</v>
      </c>
      <c r="P818" s="41">
        <v>27</v>
      </c>
      <c r="Q818" s="41">
        <v>4</v>
      </c>
      <c r="R818" s="41">
        <v>24</v>
      </c>
      <c r="S818" t="s">
        <v>3343</v>
      </c>
      <c r="AH818" t="s">
        <v>359</v>
      </c>
    </row>
    <row r="819" spans="1:34" ht="15.75">
      <c r="A819" s="29">
        <f t="shared" si="12"/>
        <v>290</v>
      </c>
      <c r="B819" s="6">
        <v>986</v>
      </c>
      <c r="C819">
        <v>5</v>
      </c>
      <c r="D819" s="2">
        <v>1817</v>
      </c>
      <c r="E819">
        <v>573</v>
      </c>
      <c r="H819" t="s">
        <v>850</v>
      </c>
      <c r="I819" s="2">
        <v>290</v>
      </c>
      <c r="J819" s="2">
        <v>0</v>
      </c>
      <c r="K819" s="2" t="s">
        <v>867</v>
      </c>
      <c r="L819" s="43" t="s">
        <v>3630</v>
      </c>
      <c r="P819" s="41">
        <v>1</v>
      </c>
      <c r="Q819" s="41">
        <v>9</v>
      </c>
      <c r="R819" s="41">
        <v>81</v>
      </c>
      <c r="S819" t="s">
        <v>3329</v>
      </c>
      <c r="AH819" t="s">
        <v>359</v>
      </c>
    </row>
    <row r="820" spans="1:34" ht="15.75">
      <c r="A820" s="29">
        <f t="shared" si="12"/>
        <v>9475.555555555555</v>
      </c>
      <c r="B820" s="6">
        <v>986</v>
      </c>
      <c r="C820">
        <v>5</v>
      </c>
      <c r="D820" s="2">
        <v>1817</v>
      </c>
      <c r="E820">
        <v>574</v>
      </c>
      <c r="H820" t="s">
        <v>1541</v>
      </c>
      <c r="I820" s="2">
        <v>0</v>
      </c>
      <c r="J820" s="2">
        <v>1066</v>
      </c>
      <c r="K820" s="2" t="s">
        <v>867</v>
      </c>
      <c r="L820" s="43" t="s">
        <v>3631</v>
      </c>
      <c r="O820" s="41" t="s">
        <v>3632</v>
      </c>
      <c r="P820" s="41">
        <v>1</v>
      </c>
      <c r="Q820" s="41">
        <v>10</v>
      </c>
      <c r="R820" s="41" t="s">
        <v>1547</v>
      </c>
      <c r="S820" t="s">
        <v>3329</v>
      </c>
      <c r="U820" t="s">
        <v>3632</v>
      </c>
      <c r="X820">
        <f>4/9</f>
        <v>0.4444444444444444</v>
      </c>
      <c r="Y820" t="s">
        <v>1211</v>
      </c>
      <c r="AH820" t="s">
        <v>359</v>
      </c>
    </row>
    <row r="821" spans="1:34" ht="15.75">
      <c r="A821" s="29">
        <f t="shared" si="12"/>
        <v>391</v>
      </c>
      <c r="B821" s="6">
        <v>987</v>
      </c>
      <c r="C821">
        <v>5</v>
      </c>
      <c r="D821" s="2">
        <v>1817</v>
      </c>
      <c r="E821">
        <v>575</v>
      </c>
      <c r="H821" t="s">
        <v>1541</v>
      </c>
      <c r="I821" s="2">
        <v>391</v>
      </c>
      <c r="J821" s="2">
        <v>0</v>
      </c>
      <c r="K821" s="2" t="s">
        <v>867</v>
      </c>
      <c r="L821" s="43" t="s">
        <v>5909</v>
      </c>
      <c r="P821" s="41">
        <v>22</v>
      </c>
      <c r="Q821" s="41">
        <v>10</v>
      </c>
      <c r="R821" s="41">
        <v>59</v>
      </c>
      <c r="S821" t="s">
        <v>3321</v>
      </c>
      <c r="AH821" t="s">
        <v>359</v>
      </c>
    </row>
    <row r="822" spans="1:34" ht="15.75">
      <c r="A822" s="29">
        <f t="shared" si="12"/>
        <v>1295</v>
      </c>
      <c r="B822" s="6">
        <v>987</v>
      </c>
      <c r="C822">
        <v>5</v>
      </c>
      <c r="D822" s="2">
        <v>1817</v>
      </c>
      <c r="E822">
        <v>576</v>
      </c>
      <c r="H822" t="s">
        <v>1541</v>
      </c>
      <c r="I822" s="2">
        <v>1295</v>
      </c>
      <c r="J822" s="2">
        <v>0</v>
      </c>
      <c r="K822" s="2" t="s">
        <v>867</v>
      </c>
      <c r="L822" s="43" t="s">
        <v>5909</v>
      </c>
      <c r="P822" s="41">
        <v>25</v>
      </c>
      <c r="Q822" s="41">
        <v>12</v>
      </c>
      <c r="R822" s="41">
        <v>89</v>
      </c>
      <c r="S822" t="s">
        <v>3343</v>
      </c>
      <c r="AH822" t="s">
        <v>359</v>
      </c>
    </row>
    <row r="823" spans="1:34" ht="15.75">
      <c r="A823" s="29">
        <f t="shared" si="12"/>
        <v>29075</v>
      </c>
      <c r="B823" s="6">
        <v>987</v>
      </c>
      <c r="C823">
        <v>5</v>
      </c>
      <c r="D823" s="2">
        <v>1817</v>
      </c>
      <c r="E823">
        <v>577</v>
      </c>
      <c r="H823" t="s">
        <v>1540</v>
      </c>
      <c r="I823" s="2">
        <v>29075</v>
      </c>
      <c r="J823" s="2">
        <v>0</v>
      </c>
      <c r="K823" s="2" t="s">
        <v>867</v>
      </c>
      <c r="L823" s="43" t="s">
        <v>1212</v>
      </c>
      <c r="M823" s="41" t="s">
        <v>1213</v>
      </c>
      <c r="N823" s="41" t="s">
        <v>2957</v>
      </c>
      <c r="O823" s="41" t="s">
        <v>2958</v>
      </c>
      <c r="P823" s="41">
        <v>2</v>
      </c>
      <c r="Q823" s="41">
        <v>3</v>
      </c>
      <c r="R823" s="41">
        <v>56</v>
      </c>
      <c r="S823" t="s">
        <v>2959</v>
      </c>
      <c r="T823" t="s">
        <v>4784</v>
      </c>
      <c r="V823" t="s">
        <v>3370</v>
      </c>
      <c r="AH823" t="s">
        <v>359</v>
      </c>
    </row>
    <row r="824" spans="1:34" ht="15.75">
      <c r="A824" s="29">
        <f t="shared" si="12"/>
        <v>704</v>
      </c>
      <c r="B824" s="6">
        <v>987</v>
      </c>
      <c r="C824">
        <v>5</v>
      </c>
      <c r="D824" s="2">
        <v>1817</v>
      </c>
      <c r="E824">
        <v>579</v>
      </c>
      <c r="H824" t="s">
        <v>1541</v>
      </c>
      <c r="I824" s="2">
        <v>704</v>
      </c>
      <c r="J824" s="2">
        <v>0</v>
      </c>
      <c r="K824" s="2" t="s">
        <v>867</v>
      </c>
      <c r="L824" s="43" t="s">
        <v>5912</v>
      </c>
      <c r="P824" s="41">
        <v>3</v>
      </c>
      <c r="Q824" s="41">
        <v>5</v>
      </c>
      <c r="R824" s="41">
        <v>87</v>
      </c>
      <c r="S824" t="s">
        <v>3329</v>
      </c>
      <c r="AH824" t="s">
        <v>359</v>
      </c>
    </row>
    <row r="825" spans="1:34" ht="15.75">
      <c r="A825" s="29">
        <f t="shared" si="12"/>
        <v>15000</v>
      </c>
      <c r="B825" s="6">
        <v>987</v>
      </c>
      <c r="C825">
        <v>5</v>
      </c>
      <c r="D825" s="2">
        <v>1817</v>
      </c>
      <c r="E825">
        <v>580</v>
      </c>
      <c r="H825" t="s">
        <v>1540</v>
      </c>
      <c r="I825" s="2">
        <v>0</v>
      </c>
      <c r="J825" s="2">
        <f>600+150</f>
        <v>750</v>
      </c>
      <c r="K825" s="2" t="s">
        <v>867</v>
      </c>
      <c r="L825" s="43" t="s">
        <v>5912</v>
      </c>
      <c r="O825" s="41" t="s">
        <v>5913</v>
      </c>
      <c r="P825" s="41">
        <v>7</v>
      </c>
      <c r="Q825" s="41">
        <v>7</v>
      </c>
      <c r="R825" s="41" t="s">
        <v>1547</v>
      </c>
      <c r="S825" t="s">
        <v>1547</v>
      </c>
      <c r="X825">
        <v>1</v>
      </c>
      <c r="Y825" t="s">
        <v>2992</v>
      </c>
      <c r="AH825" t="s">
        <v>359</v>
      </c>
    </row>
    <row r="826" spans="1:34" ht="15.75">
      <c r="A826" s="29">
        <f t="shared" si="12"/>
        <v>16000</v>
      </c>
      <c r="B826" s="6">
        <v>987</v>
      </c>
      <c r="C826">
        <v>5</v>
      </c>
      <c r="D826" s="2">
        <v>1817</v>
      </c>
      <c r="E826">
        <v>581</v>
      </c>
      <c r="H826" t="s">
        <v>1540</v>
      </c>
      <c r="I826" s="2">
        <v>0</v>
      </c>
      <c r="J826" s="2">
        <v>800</v>
      </c>
      <c r="K826" s="2" t="s">
        <v>867</v>
      </c>
      <c r="L826" s="43" t="s">
        <v>5912</v>
      </c>
      <c r="P826" s="41">
        <v>15</v>
      </c>
      <c r="Q826" s="41">
        <v>6</v>
      </c>
      <c r="R826" s="41">
        <v>58</v>
      </c>
      <c r="S826" t="s">
        <v>3321</v>
      </c>
      <c r="X826">
        <v>1</v>
      </c>
      <c r="Y826" t="s">
        <v>2990</v>
      </c>
      <c r="AH826" t="s">
        <v>359</v>
      </c>
    </row>
    <row r="827" spans="1:34" ht="15.75">
      <c r="A827" s="29">
        <f t="shared" si="12"/>
        <v>152</v>
      </c>
      <c r="B827" s="6">
        <v>987</v>
      </c>
      <c r="C827">
        <v>5</v>
      </c>
      <c r="D827" s="2">
        <v>1817</v>
      </c>
      <c r="E827">
        <v>582</v>
      </c>
      <c r="H827" t="s">
        <v>1541</v>
      </c>
      <c r="I827" s="2">
        <v>152</v>
      </c>
      <c r="J827" s="2">
        <v>0</v>
      </c>
      <c r="K827" s="2" t="s">
        <v>867</v>
      </c>
      <c r="L827" s="43" t="s">
        <v>5914</v>
      </c>
      <c r="P827" s="41">
        <v>6</v>
      </c>
      <c r="Q827" s="41">
        <v>9</v>
      </c>
      <c r="R827" s="41">
        <v>51</v>
      </c>
      <c r="S827" t="s">
        <v>3343</v>
      </c>
      <c r="AH827" t="s">
        <v>359</v>
      </c>
    </row>
    <row r="828" spans="1:34" ht="15.75">
      <c r="A828" s="29">
        <f t="shared" si="12"/>
        <v>3856</v>
      </c>
      <c r="B828" s="6">
        <v>987</v>
      </c>
      <c r="C828">
        <v>5</v>
      </c>
      <c r="D828" s="2">
        <v>1817</v>
      </c>
      <c r="E828">
        <v>583</v>
      </c>
      <c r="H828" t="s">
        <v>1549</v>
      </c>
      <c r="I828" s="2">
        <v>3856</v>
      </c>
      <c r="J828" s="2">
        <v>0</v>
      </c>
      <c r="K828" s="2" t="s">
        <v>867</v>
      </c>
      <c r="L828" s="43" t="s">
        <v>5915</v>
      </c>
      <c r="P828" s="41">
        <v>19</v>
      </c>
      <c r="Q828" s="41">
        <v>11</v>
      </c>
      <c r="R828" s="41">
        <v>79</v>
      </c>
      <c r="S828" t="s">
        <v>3343</v>
      </c>
      <c r="AH828" t="s">
        <v>359</v>
      </c>
    </row>
    <row r="829" spans="1:34" ht="15.75">
      <c r="A829" s="29">
        <f t="shared" si="12"/>
        <v>5801.05714</v>
      </c>
      <c r="B829" s="6">
        <v>987</v>
      </c>
      <c r="C829">
        <v>5</v>
      </c>
      <c r="D829" s="2">
        <v>1817</v>
      </c>
      <c r="E829">
        <v>584</v>
      </c>
      <c r="H829" t="s">
        <v>1541</v>
      </c>
      <c r="I829" s="2">
        <v>2335</v>
      </c>
      <c r="J829" s="2">
        <v>399</v>
      </c>
      <c r="K829" s="2" t="s">
        <v>867</v>
      </c>
      <c r="L829" s="43" t="s">
        <v>5916</v>
      </c>
      <c r="P829" s="41">
        <v>12</v>
      </c>
      <c r="Q829" s="41">
        <v>12</v>
      </c>
      <c r="R829" s="41">
        <v>34</v>
      </c>
      <c r="S829" t="s">
        <v>3321</v>
      </c>
      <c r="X829">
        <v>0.434343</v>
      </c>
      <c r="Y829" t="s">
        <v>2964</v>
      </c>
      <c r="AH829" t="s">
        <v>359</v>
      </c>
    </row>
    <row r="830" spans="1:34" ht="15.75">
      <c r="A830" s="29">
        <f t="shared" si="12"/>
        <v>3526</v>
      </c>
      <c r="B830" s="6">
        <v>987</v>
      </c>
      <c r="C830">
        <v>5</v>
      </c>
      <c r="D830" s="2">
        <v>1817</v>
      </c>
      <c r="E830">
        <v>585</v>
      </c>
      <c r="H830" t="s">
        <v>850</v>
      </c>
      <c r="I830" s="2">
        <v>3526</v>
      </c>
      <c r="J830" s="2">
        <v>0</v>
      </c>
      <c r="K830" s="2" t="s">
        <v>867</v>
      </c>
      <c r="L830" s="43" t="s">
        <v>5917</v>
      </c>
      <c r="P830" s="41">
        <v>29</v>
      </c>
      <c r="Q830" s="41">
        <v>8</v>
      </c>
      <c r="R830" s="41">
        <v>40</v>
      </c>
      <c r="S830" t="s">
        <v>3321</v>
      </c>
      <c r="AH830" t="s">
        <v>359</v>
      </c>
    </row>
    <row r="831" spans="1:34" ht="15.75">
      <c r="A831" s="29">
        <f t="shared" si="12"/>
        <v>14859</v>
      </c>
      <c r="B831" s="6">
        <v>987</v>
      </c>
      <c r="C831">
        <v>5</v>
      </c>
      <c r="D831" s="2">
        <v>1817</v>
      </c>
      <c r="E831">
        <v>586</v>
      </c>
      <c r="H831" t="s">
        <v>1540</v>
      </c>
      <c r="I831" s="2">
        <v>359</v>
      </c>
      <c r="J831" s="2">
        <f>250+400+800</f>
        <v>1450</v>
      </c>
      <c r="K831" s="2" t="s">
        <v>867</v>
      </c>
      <c r="L831" s="43" t="s">
        <v>5917</v>
      </c>
      <c r="P831" s="41">
        <v>22</v>
      </c>
      <c r="Q831" s="41">
        <v>12</v>
      </c>
      <c r="R831" s="41">
        <v>55</v>
      </c>
      <c r="S831" t="s">
        <v>3321</v>
      </c>
      <c r="X831">
        <v>0.5</v>
      </c>
      <c r="Y831" t="s">
        <v>2965</v>
      </c>
      <c r="AH831" t="s">
        <v>359</v>
      </c>
    </row>
    <row r="832" spans="1:34" ht="15.75">
      <c r="A832" s="29">
        <f t="shared" si="12"/>
        <v>4731</v>
      </c>
      <c r="B832" s="6">
        <v>988</v>
      </c>
      <c r="C832">
        <v>5</v>
      </c>
      <c r="D832" s="2">
        <v>1817</v>
      </c>
      <c r="E832">
        <v>588</v>
      </c>
      <c r="H832" t="s">
        <v>1540</v>
      </c>
      <c r="I832" s="2">
        <v>4731</v>
      </c>
      <c r="J832" s="2">
        <v>0</v>
      </c>
      <c r="K832" s="2" t="s">
        <v>868</v>
      </c>
      <c r="L832" s="43" t="s">
        <v>5921</v>
      </c>
      <c r="P832" s="41">
        <v>23</v>
      </c>
      <c r="Q832" s="41">
        <v>5</v>
      </c>
      <c r="R832" s="41" t="s">
        <v>1547</v>
      </c>
      <c r="S832" t="s">
        <v>1547</v>
      </c>
      <c r="AH832" t="s">
        <v>359</v>
      </c>
    </row>
    <row r="833" spans="1:34" ht="15.75">
      <c r="A833" s="29">
        <f t="shared" si="12"/>
        <v>105</v>
      </c>
      <c r="B833" s="6">
        <v>988</v>
      </c>
      <c r="C833">
        <v>5</v>
      </c>
      <c r="D833" s="2">
        <v>1817</v>
      </c>
      <c r="E833">
        <v>589</v>
      </c>
      <c r="H833" t="s">
        <v>1549</v>
      </c>
      <c r="I833" s="2">
        <v>105</v>
      </c>
      <c r="J833" s="2">
        <v>0</v>
      </c>
      <c r="K833" s="2" t="s">
        <v>868</v>
      </c>
      <c r="L833" s="43" t="s">
        <v>5922</v>
      </c>
      <c r="P833" s="41">
        <v>22</v>
      </c>
      <c r="Q833" s="41">
        <v>9</v>
      </c>
      <c r="R833" s="41">
        <v>52</v>
      </c>
      <c r="S833" t="s">
        <v>3321</v>
      </c>
      <c r="AH833" t="s">
        <v>359</v>
      </c>
    </row>
    <row r="834" spans="1:34" ht="15.75">
      <c r="A834" s="29">
        <f aca="true" t="shared" si="13" ref="A834:A897">I834+J834*20*X834</f>
        <v>320</v>
      </c>
      <c r="B834" s="6">
        <v>988</v>
      </c>
      <c r="C834">
        <v>5</v>
      </c>
      <c r="D834" s="2">
        <v>1817</v>
      </c>
      <c r="E834">
        <v>590</v>
      </c>
      <c r="H834" t="s">
        <v>1541</v>
      </c>
      <c r="I834" s="2">
        <v>320</v>
      </c>
      <c r="J834" s="2">
        <v>0</v>
      </c>
      <c r="K834" s="2" t="s">
        <v>868</v>
      </c>
      <c r="L834" s="43" t="s">
        <v>5922</v>
      </c>
      <c r="P834" s="41">
        <v>19</v>
      </c>
      <c r="Q834" s="41">
        <v>8</v>
      </c>
      <c r="R834" s="41">
        <v>54</v>
      </c>
      <c r="S834" t="s">
        <v>3321</v>
      </c>
      <c r="AH834" t="s">
        <v>359</v>
      </c>
    </row>
    <row r="835" spans="1:34" ht="15.75">
      <c r="A835" s="29">
        <f t="shared" si="13"/>
        <v>1966</v>
      </c>
      <c r="B835" s="6">
        <v>989</v>
      </c>
      <c r="C835">
        <v>5</v>
      </c>
      <c r="D835" s="2">
        <v>1817</v>
      </c>
      <c r="E835">
        <v>591</v>
      </c>
      <c r="H835" t="s">
        <v>1541</v>
      </c>
      <c r="I835" s="2">
        <v>1966</v>
      </c>
      <c r="J835" s="2">
        <v>0</v>
      </c>
      <c r="K835" s="2" t="s">
        <v>868</v>
      </c>
      <c r="L835" s="43" t="s">
        <v>5923</v>
      </c>
      <c r="P835" s="41">
        <v>7</v>
      </c>
      <c r="Q835" s="41">
        <v>7</v>
      </c>
      <c r="R835" s="41">
        <v>86</v>
      </c>
      <c r="S835" t="s">
        <v>3329</v>
      </c>
      <c r="AH835" t="s">
        <v>359</v>
      </c>
    </row>
    <row r="836" spans="1:34" ht="15.75">
      <c r="A836" s="29">
        <f t="shared" si="13"/>
        <v>394</v>
      </c>
      <c r="B836" s="6">
        <v>989</v>
      </c>
      <c r="C836">
        <v>5</v>
      </c>
      <c r="D836" s="2">
        <v>1817</v>
      </c>
      <c r="E836">
        <v>592</v>
      </c>
      <c r="H836" t="s">
        <v>1540</v>
      </c>
      <c r="I836" s="2">
        <v>394</v>
      </c>
      <c r="J836" s="2">
        <v>0</v>
      </c>
      <c r="K836" s="2" t="s">
        <v>868</v>
      </c>
      <c r="L836" s="43" t="s">
        <v>5924</v>
      </c>
      <c r="P836" s="41">
        <v>13</v>
      </c>
      <c r="Q836" s="41">
        <v>6</v>
      </c>
      <c r="R836" s="41">
        <v>78</v>
      </c>
      <c r="S836" t="s">
        <v>3329</v>
      </c>
      <c r="AH836" t="s">
        <v>359</v>
      </c>
    </row>
    <row r="837" spans="1:34" ht="15.75">
      <c r="A837" s="29">
        <f t="shared" si="13"/>
        <v>392</v>
      </c>
      <c r="B837" s="6">
        <v>989</v>
      </c>
      <c r="C837">
        <v>5</v>
      </c>
      <c r="D837" s="2">
        <v>1817</v>
      </c>
      <c r="E837">
        <v>593</v>
      </c>
      <c r="H837" t="s">
        <v>1540</v>
      </c>
      <c r="I837" s="2">
        <v>392</v>
      </c>
      <c r="J837" s="2">
        <v>0</v>
      </c>
      <c r="K837" s="2" t="s">
        <v>868</v>
      </c>
      <c r="L837" s="43" t="s">
        <v>5926</v>
      </c>
      <c r="P837" s="41">
        <v>19</v>
      </c>
      <c r="Q837" s="41">
        <v>2</v>
      </c>
      <c r="R837" s="41">
        <v>43</v>
      </c>
      <c r="S837" t="s">
        <v>3321</v>
      </c>
      <c r="AH837" t="s">
        <v>359</v>
      </c>
    </row>
    <row r="838" spans="1:34" ht="15.75">
      <c r="A838" s="29">
        <f t="shared" si="13"/>
        <v>100</v>
      </c>
      <c r="B838" s="6">
        <v>989</v>
      </c>
      <c r="C838">
        <v>5</v>
      </c>
      <c r="D838" s="2">
        <v>1817</v>
      </c>
      <c r="E838">
        <v>594</v>
      </c>
      <c r="H838" t="s">
        <v>1540</v>
      </c>
      <c r="I838" s="2">
        <v>100</v>
      </c>
      <c r="J838" s="2">
        <v>0</v>
      </c>
      <c r="K838" s="2" t="s">
        <v>868</v>
      </c>
      <c r="L838" s="43" t="s">
        <v>5927</v>
      </c>
      <c r="P838" s="41">
        <v>19</v>
      </c>
      <c r="Q838" s="41">
        <v>3</v>
      </c>
      <c r="R838" s="41">
        <v>69</v>
      </c>
      <c r="S838" t="s">
        <v>3321</v>
      </c>
      <c r="AH838" t="s">
        <v>359</v>
      </c>
    </row>
    <row r="839" spans="1:34" ht="15.75">
      <c r="A839" s="29">
        <f t="shared" si="13"/>
        <v>403299</v>
      </c>
      <c r="B839" s="6">
        <v>989</v>
      </c>
      <c r="C839">
        <v>5</v>
      </c>
      <c r="D839" s="2">
        <v>1817</v>
      </c>
      <c r="E839">
        <v>595</v>
      </c>
      <c r="H839" t="s">
        <v>1540</v>
      </c>
      <c r="I839" s="2">
        <v>403299</v>
      </c>
      <c r="J839" s="2">
        <v>0</v>
      </c>
      <c r="K839" s="2" t="s">
        <v>869</v>
      </c>
      <c r="L839" s="43" t="s">
        <v>2968</v>
      </c>
      <c r="M839" s="41" t="s">
        <v>1543</v>
      </c>
      <c r="N839" s="41" t="s">
        <v>3453</v>
      </c>
      <c r="O839" s="41" t="s">
        <v>2969</v>
      </c>
      <c r="P839" s="41">
        <v>20</v>
      </c>
      <c r="Q839" s="41">
        <v>12</v>
      </c>
      <c r="R839" s="41">
        <v>60</v>
      </c>
      <c r="S839" t="s">
        <v>2970</v>
      </c>
      <c r="T839" t="s">
        <v>1262</v>
      </c>
      <c r="V839" t="s">
        <v>2971</v>
      </c>
      <c r="AH839" t="s">
        <v>359</v>
      </c>
    </row>
    <row r="840" spans="1:34" ht="15.75">
      <c r="A840" s="29">
        <f t="shared" si="13"/>
        <v>420</v>
      </c>
      <c r="B840" s="6">
        <v>990</v>
      </c>
      <c r="C840">
        <v>5</v>
      </c>
      <c r="D840" s="2">
        <v>1817</v>
      </c>
      <c r="E840">
        <v>596</v>
      </c>
      <c r="H840" t="s">
        <v>1540</v>
      </c>
      <c r="I840" s="2">
        <v>420</v>
      </c>
      <c r="J840" s="2">
        <v>0</v>
      </c>
      <c r="K840" s="2" t="s">
        <v>869</v>
      </c>
      <c r="L840" s="43" t="s">
        <v>4196</v>
      </c>
      <c r="P840" s="41">
        <v>4</v>
      </c>
      <c r="Q840" s="41">
        <v>2</v>
      </c>
      <c r="R840" s="41">
        <v>54</v>
      </c>
      <c r="S840" t="s">
        <v>3321</v>
      </c>
      <c r="AH840" t="s">
        <v>359</v>
      </c>
    </row>
    <row r="841" spans="1:34" ht="15.75">
      <c r="A841" s="29">
        <f t="shared" si="13"/>
        <v>25600</v>
      </c>
      <c r="B841" s="6">
        <v>990</v>
      </c>
      <c r="C841">
        <v>5</v>
      </c>
      <c r="D841" s="2">
        <v>1817</v>
      </c>
      <c r="E841">
        <v>597</v>
      </c>
      <c r="H841" t="s">
        <v>850</v>
      </c>
      <c r="I841" s="2">
        <v>0</v>
      </c>
      <c r="J841" s="2">
        <v>1280</v>
      </c>
      <c r="K841" s="2" t="s">
        <v>869</v>
      </c>
      <c r="L841" s="43" t="s">
        <v>4199</v>
      </c>
      <c r="M841" s="41" t="s">
        <v>4200</v>
      </c>
      <c r="O841" s="41" t="s">
        <v>4201</v>
      </c>
      <c r="P841" s="41">
        <v>4</v>
      </c>
      <c r="Q841" s="41">
        <v>11</v>
      </c>
      <c r="R841" s="41" t="s">
        <v>1199</v>
      </c>
      <c r="S841" t="s">
        <v>4202</v>
      </c>
      <c r="T841" t="s">
        <v>4203</v>
      </c>
      <c r="U841" t="s">
        <v>4204</v>
      </c>
      <c r="X841">
        <v>1</v>
      </c>
      <c r="Y841" t="s">
        <v>4198</v>
      </c>
      <c r="AH841" t="s">
        <v>359</v>
      </c>
    </row>
    <row r="842" spans="1:34" ht="15.75">
      <c r="A842" s="29">
        <f t="shared" si="13"/>
        <v>876</v>
      </c>
      <c r="B842" s="6">
        <v>990</v>
      </c>
      <c r="C842">
        <v>5</v>
      </c>
      <c r="D842" s="2">
        <v>1817</v>
      </c>
      <c r="E842">
        <v>598</v>
      </c>
      <c r="H842" t="s">
        <v>1541</v>
      </c>
      <c r="I842" s="2">
        <v>876</v>
      </c>
      <c r="J842" s="2">
        <v>0</v>
      </c>
      <c r="K842" s="2" t="s">
        <v>870</v>
      </c>
      <c r="L842" s="43" t="s">
        <v>4206</v>
      </c>
      <c r="P842" s="41">
        <v>22</v>
      </c>
      <c r="Q842" s="41">
        <v>4</v>
      </c>
      <c r="R842" s="41">
        <v>74</v>
      </c>
      <c r="S842" t="s">
        <v>3321</v>
      </c>
      <c r="AH842" t="s">
        <v>359</v>
      </c>
    </row>
    <row r="843" spans="1:34" ht="15.75">
      <c r="A843" s="29">
        <f t="shared" si="13"/>
        <v>42644</v>
      </c>
      <c r="B843" s="6">
        <v>991</v>
      </c>
      <c r="C843">
        <v>5</v>
      </c>
      <c r="D843" s="2">
        <v>1817</v>
      </c>
      <c r="E843">
        <v>599</v>
      </c>
      <c r="H843" t="s">
        <v>1540</v>
      </c>
      <c r="I843" s="2">
        <v>9104</v>
      </c>
      <c r="J843" s="2">
        <v>1677</v>
      </c>
      <c r="K843" s="2" t="s">
        <v>870</v>
      </c>
      <c r="L843" s="43" t="s">
        <v>2293</v>
      </c>
      <c r="M843" s="41" t="s">
        <v>5783</v>
      </c>
      <c r="N843" s="41" t="s">
        <v>2294</v>
      </c>
      <c r="O843" s="41" t="s">
        <v>2295</v>
      </c>
      <c r="P843" s="41">
        <v>18</v>
      </c>
      <c r="Q843" s="41">
        <v>10</v>
      </c>
      <c r="R843" s="41">
        <v>54</v>
      </c>
      <c r="S843" t="s">
        <v>2296</v>
      </c>
      <c r="T843" t="s">
        <v>5920</v>
      </c>
      <c r="V843" t="s">
        <v>2297</v>
      </c>
      <c r="X843">
        <v>1</v>
      </c>
      <c r="Y843" s="2" t="s">
        <v>2295</v>
      </c>
      <c r="AH843" t="s">
        <v>359</v>
      </c>
    </row>
    <row r="844" spans="1:34" ht="15.75">
      <c r="A844" s="29">
        <f t="shared" si="13"/>
        <v>1681</v>
      </c>
      <c r="B844" s="6">
        <v>991</v>
      </c>
      <c r="C844">
        <v>5</v>
      </c>
      <c r="D844" s="2">
        <v>1817</v>
      </c>
      <c r="E844">
        <v>601</v>
      </c>
      <c r="H844" t="s">
        <v>1549</v>
      </c>
      <c r="I844" s="2">
        <v>1681</v>
      </c>
      <c r="J844" s="2">
        <v>0</v>
      </c>
      <c r="K844" s="2" t="s">
        <v>870</v>
      </c>
      <c r="L844" s="43" t="s">
        <v>2299</v>
      </c>
      <c r="P844" s="41">
        <v>21</v>
      </c>
      <c r="Q844" s="41">
        <v>4</v>
      </c>
      <c r="R844" s="41">
        <v>61</v>
      </c>
      <c r="S844" t="s">
        <v>3343</v>
      </c>
      <c r="AH844" t="s">
        <v>359</v>
      </c>
    </row>
    <row r="845" spans="1:34" ht="15.75">
      <c r="A845" s="29">
        <f t="shared" si="13"/>
        <v>274</v>
      </c>
      <c r="B845" s="6">
        <v>991</v>
      </c>
      <c r="C845">
        <v>5</v>
      </c>
      <c r="D845" s="2">
        <v>1817</v>
      </c>
      <c r="E845">
        <v>602</v>
      </c>
      <c r="H845" t="s">
        <v>1549</v>
      </c>
      <c r="I845" s="2">
        <v>274</v>
      </c>
      <c r="J845" s="2">
        <v>0</v>
      </c>
      <c r="K845" s="2" t="s">
        <v>870</v>
      </c>
      <c r="L845" s="43" t="s">
        <v>2300</v>
      </c>
      <c r="P845" s="41">
        <v>30</v>
      </c>
      <c r="Q845" s="41">
        <v>8</v>
      </c>
      <c r="R845" s="41">
        <v>64</v>
      </c>
      <c r="S845" t="s">
        <v>1547</v>
      </c>
      <c r="AH845" t="s">
        <v>359</v>
      </c>
    </row>
    <row r="846" spans="1:34" ht="15.75">
      <c r="A846" s="29">
        <f t="shared" si="13"/>
        <v>964</v>
      </c>
      <c r="B846" s="6">
        <v>991</v>
      </c>
      <c r="C846">
        <v>5</v>
      </c>
      <c r="D846" s="2">
        <v>1817</v>
      </c>
      <c r="E846">
        <v>603</v>
      </c>
      <c r="H846" t="s">
        <v>1549</v>
      </c>
      <c r="I846" s="2">
        <v>964</v>
      </c>
      <c r="J846" s="2">
        <v>0</v>
      </c>
      <c r="K846" s="2" t="s">
        <v>870</v>
      </c>
      <c r="L846" s="43" t="s">
        <v>2300</v>
      </c>
      <c r="P846" s="41">
        <v>7</v>
      </c>
      <c r="Q846" s="41">
        <v>1</v>
      </c>
      <c r="R846" s="41">
        <v>82</v>
      </c>
      <c r="S846" t="s">
        <v>3343</v>
      </c>
      <c r="AH846" t="s">
        <v>359</v>
      </c>
    </row>
    <row r="847" spans="1:34" ht="15.75">
      <c r="A847" s="29">
        <f t="shared" si="13"/>
        <v>13231</v>
      </c>
      <c r="B847" s="6">
        <v>992</v>
      </c>
      <c r="C847">
        <v>5</v>
      </c>
      <c r="D847" s="2">
        <v>1817</v>
      </c>
      <c r="E847">
        <v>605</v>
      </c>
      <c r="H847" t="s">
        <v>1541</v>
      </c>
      <c r="I847" s="2">
        <v>2491</v>
      </c>
      <c r="J847" s="2">
        <v>537</v>
      </c>
      <c r="K847" s="2" t="s">
        <v>870</v>
      </c>
      <c r="L847" s="43" t="s">
        <v>2314</v>
      </c>
      <c r="P847" s="41">
        <v>22</v>
      </c>
      <c r="Q847" s="41">
        <v>8</v>
      </c>
      <c r="R847" s="41">
        <v>65</v>
      </c>
      <c r="S847" t="s">
        <v>3321</v>
      </c>
      <c r="X847">
        <v>1</v>
      </c>
      <c r="Y847" t="s">
        <v>1556</v>
      </c>
      <c r="AH847" t="s">
        <v>359</v>
      </c>
    </row>
    <row r="848" spans="1:34" ht="15.75">
      <c r="A848" s="29">
        <f t="shared" si="13"/>
        <v>45762</v>
      </c>
      <c r="B848" s="6">
        <v>992</v>
      </c>
      <c r="C848">
        <v>5</v>
      </c>
      <c r="D848" s="2">
        <v>1817</v>
      </c>
      <c r="E848">
        <v>606</v>
      </c>
      <c r="H848" t="s">
        <v>1540</v>
      </c>
      <c r="I848" s="2">
        <v>16582</v>
      </c>
      <c r="J848" s="2">
        <v>2918</v>
      </c>
      <c r="K848" s="2" t="s">
        <v>870</v>
      </c>
      <c r="L848" s="43" t="s">
        <v>1563</v>
      </c>
      <c r="M848" s="41" t="s">
        <v>1558</v>
      </c>
      <c r="N848" s="41" t="s">
        <v>1555</v>
      </c>
      <c r="O848" s="41" t="s">
        <v>1559</v>
      </c>
      <c r="P848" s="41">
        <v>3</v>
      </c>
      <c r="Q848" s="41">
        <v>3</v>
      </c>
      <c r="R848" s="41">
        <v>53</v>
      </c>
      <c r="S848" t="s">
        <v>1560</v>
      </c>
      <c r="T848" t="s">
        <v>1274</v>
      </c>
      <c r="V848" t="s">
        <v>1561</v>
      </c>
      <c r="X848">
        <v>0.5</v>
      </c>
      <c r="Y848" t="s">
        <v>1557</v>
      </c>
      <c r="AH848" t="s">
        <v>359</v>
      </c>
    </row>
    <row r="849" spans="1:34" ht="15.75">
      <c r="A849" s="29">
        <f t="shared" si="13"/>
        <v>223</v>
      </c>
      <c r="B849" s="6">
        <v>992</v>
      </c>
      <c r="C849">
        <v>5</v>
      </c>
      <c r="D849" s="2">
        <v>1817</v>
      </c>
      <c r="E849">
        <v>607</v>
      </c>
      <c r="H849" t="s">
        <v>1541</v>
      </c>
      <c r="I849" s="2">
        <v>223</v>
      </c>
      <c r="J849" s="2">
        <v>0</v>
      </c>
      <c r="K849" s="2" t="s">
        <v>870</v>
      </c>
      <c r="L849" s="43" t="s">
        <v>2315</v>
      </c>
      <c r="P849" s="41">
        <v>12</v>
      </c>
      <c r="Q849" s="41">
        <v>4</v>
      </c>
      <c r="R849" s="41">
        <v>72</v>
      </c>
      <c r="S849" t="s">
        <v>3329</v>
      </c>
      <c r="AH849" t="s">
        <v>359</v>
      </c>
    </row>
    <row r="850" spans="1:34" ht="15.75">
      <c r="A850" s="29">
        <f t="shared" si="13"/>
        <v>9619</v>
      </c>
      <c r="B850" s="6">
        <v>992</v>
      </c>
      <c r="C850">
        <v>5</v>
      </c>
      <c r="D850" s="2">
        <v>1817</v>
      </c>
      <c r="E850">
        <v>608</v>
      </c>
      <c r="H850" t="s">
        <v>1540</v>
      </c>
      <c r="I850" s="2">
        <v>9619</v>
      </c>
      <c r="J850" s="2">
        <v>0</v>
      </c>
      <c r="K850" s="2" t="s">
        <v>870</v>
      </c>
      <c r="L850" s="43" t="s">
        <v>2316</v>
      </c>
      <c r="P850" s="41">
        <v>15</v>
      </c>
      <c r="Q850" s="41">
        <v>5</v>
      </c>
      <c r="R850" s="41">
        <v>63</v>
      </c>
      <c r="S850" t="s">
        <v>3321</v>
      </c>
      <c r="AH850" t="s">
        <v>359</v>
      </c>
    </row>
    <row r="851" spans="1:34" ht="15.75">
      <c r="A851" s="29">
        <f t="shared" si="13"/>
        <v>6758</v>
      </c>
      <c r="B851" s="6">
        <v>992</v>
      </c>
      <c r="C851">
        <v>5</v>
      </c>
      <c r="D851" s="2">
        <v>1817</v>
      </c>
      <c r="E851">
        <v>609</v>
      </c>
      <c r="H851" t="s">
        <v>1540</v>
      </c>
      <c r="I851" s="2">
        <f>2630+4128</f>
        <v>6758</v>
      </c>
      <c r="J851" s="2">
        <v>0</v>
      </c>
      <c r="K851" s="2" t="s">
        <v>870</v>
      </c>
      <c r="L851" s="43" t="s">
        <v>2317</v>
      </c>
      <c r="P851" s="41">
        <v>20</v>
      </c>
      <c r="Q851" s="41">
        <v>1</v>
      </c>
      <c r="R851" s="41">
        <v>54</v>
      </c>
      <c r="S851" t="s">
        <v>3321</v>
      </c>
      <c r="AH851" t="s">
        <v>359</v>
      </c>
    </row>
    <row r="852" spans="1:34" ht="15.75">
      <c r="A852" s="29">
        <f t="shared" si="13"/>
        <v>150</v>
      </c>
      <c r="B852" s="6">
        <v>992</v>
      </c>
      <c r="C852">
        <v>5</v>
      </c>
      <c r="D852" s="2">
        <v>1817</v>
      </c>
      <c r="E852">
        <v>610</v>
      </c>
      <c r="H852" t="s">
        <v>1541</v>
      </c>
      <c r="I852" s="2">
        <v>150</v>
      </c>
      <c r="J852" s="2">
        <v>0</v>
      </c>
      <c r="K852" s="2" t="s">
        <v>870</v>
      </c>
      <c r="L852" s="43" t="s">
        <v>2318</v>
      </c>
      <c r="P852" s="41">
        <v>7</v>
      </c>
      <c r="Q852" s="41">
        <v>3</v>
      </c>
      <c r="R852" s="41">
        <v>98</v>
      </c>
      <c r="S852" t="s">
        <v>3329</v>
      </c>
      <c r="AH852" t="s">
        <v>359</v>
      </c>
    </row>
    <row r="853" spans="1:34" ht="15.75">
      <c r="A853" s="29">
        <f t="shared" si="13"/>
        <v>36981</v>
      </c>
      <c r="B853" s="6">
        <v>992</v>
      </c>
      <c r="C853">
        <v>5</v>
      </c>
      <c r="D853" s="2">
        <v>1817</v>
      </c>
      <c r="E853">
        <v>611</v>
      </c>
      <c r="H853" t="s">
        <v>1540</v>
      </c>
      <c r="I853" s="2">
        <v>36981</v>
      </c>
      <c r="J853" s="2">
        <v>0</v>
      </c>
      <c r="K853" s="2" t="s">
        <v>870</v>
      </c>
      <c r="L853" s="43" t="s">
        <v>1562</v>
      </c>
      <c r="M853" s="41" t="s">
        <v>1564</v>
      </c>
      <c r="N853" s="41" t="s">
        <v>1565</v>
      </c>
      <c r="O853" s="41" t="s">
        <v>1566</v>
      </c>
      <c r="P853" s="41">
        <v>27</v>
      </c>
      <c r="Q853" s="41">
        <v>5</v>
      </c>
      <c r="R853" s="41" t="s">
        <v>1547</v>
      </c>
      <c r="S853" t="s">
        <v>1547</v>
      </c>
      <c r="T853" t="s">
        <v>2765</v>
      </c>
      <c r="V853" t="s">
        <v>896</v>
      </c>
      <c r="AH853" t="s">
        <v>359</v>
      </c>
    </row>
    <row r="854" spans="1:34" ht="15.75">
      <c r="A854" s="29">
        <f t="shared" si="13"/>
        <v>8844</v>
      </c>
      <c r="B854" s="6">
        <v>992</v>
      </c>
      <c r="C854">
        <v>5</v>
      </c>
      <c r="D854" s="2">
        <v>1817</v>
      </c>
      <c r="E854">
        <v>612</v>
      </c>
      <c r="H854" t="s">
        <v>1541</v>
      </c>
      <c r="I854" s="2">
        <v>8844</v>
      </c>
      <c r="J854" s="2">
        <v>0</v>
      </c>
      <c r="K854" s="2" t="s">
        <v>870</v>
      </c>
      <c r="L854" s="43" t="s">
        <v>2319</v>
      </c>
      <c r="P854" s="41">
        <v>15</v>
      </c>
      <c r="Q854" s="41">
        <v>6</v>
      </c>
      <c r="R854" s="41" t="s">
        <v>1547</v>
      </c>
      <c r="S854" t="s">
        <v>3329</v>
      </c>
      <c r="AH854" t="s">
        <v>359</v>
      </c>
    </row>
    <row r="855" spans="1:34" ht="15.75">
      <c r="A855" s="29">
        <f t="shared" si="13"/>
        <v>173</v>
      </c>
      <c r="B855" s="6">
        <v>993</v>
      </c>
      <c r="C855">
        <v>5</v>
      </c>
      <c r="D855" s="2">
        <v>1817</v>
      </c>
      <c r="E855">
        <v>613</v>
      </c>
      <c r="H855" t="s">
        <v>1540</v>
      </c>
      <c r="I855" s="2">
        <v>173</v>
      </c>
      <c r="J855" s="2">
        <v>0</v>
      </c>
      <c r="K855" s="2" t="s">
        <v>870</v>
      </c>
      <c r="L855" s="43" t="s">
        <v>2305</v>
      </c>
      <c r="P855" s="41">
        <v>22</v>
      </c>
      <c r="Q855" s="41">
        <v>9</v>
      </c>
      <c r="R855" s="41">
        <v>54</v>
      </c>
      <c r="S855" t="s">
        <v>3343</v>
      </c>
      <c r="AH855" t="s">
        <v>359</v>
      </c>
    </row>
    <row r="856" spans="1:34" ht="15.75">
      <c r="A856" s="29">
        <f t="shared" si="13"/>
        <v>4225</v>
      </c>
      <c r="B856" s="6">
        <v>993</v>
      </c>
      <c r="C856">
        <v>5</v>
      </c>
      <c r="D856" s="2">
        <v>1817</v>
      </c>
      <c r="E856">
        <v>614</v>
      </c>
      <c r="H856" t="s">
        <v>1541</v>
      </c>
      <c r="I856" s="2">
        <v>4225</v>
      </c>
      <c r="J856" s="2">
        <v>0</v>
      </c>
      <c r="K856" s="2" t="s">
        <v>870</v>
      </c>
      <c r="L856" s="43" t="s">
        <v>2305</v>
      </c>
      <c r="P856" s="41">
        <v>5</v>
      </c>
      <c r="Q856" s="41">
        <v>7</v>
      </c>
      <c r="R856" s="41">
        <v>60</v>
      </c>
      <c r="S856" t="s">
        <v>3321</v>
      </c>
      <c r="AH856" t="s">
        <v>359</v>
      </c>
    </row>
    <row r="857" spans="1:34" ht="15.75">
      <c r="A857" s="29">
        <f t="shared" si="13"/>
        <v>17995</v>
      </c>
      <c r="B857" s="10">
        <v>993</v>
      </c>
      <c r="C857">
        <v>5</v>
      </c>
      <c r="D857" s="8">
        <v>1817</v>
      </c>
      <c r="E857">
        <v>615</v>
      </c>
      <c r="F857" s="9"/>
      <c r="G857" s="9"/>
      <c r="H857" s="9" t="s">
        <v>4655</v>
      </c>
      <c r="I857" s="8">
        <v>17995</v>
      </c>
      <c r="J857" s="8">
        <v>0</v>
      </c>
      <c r="K857" s="2" t="s">
        <v>870</v>
      </c>
      <c r="L857" s="43" t="s">
        <v>2977</v>
      </c>
      <c r="M857" s="41" t="s">
        <v>3377</v>
      </c>
      <c r="N857" s="41" t="s">
        <v>3378</v>
      </c>
      <c r="O857" s="41" t="s">
        <v>3379</v>
      </c>
      <c r="P857" s="41">
        <v>31</v>
      </c>
      <c r="Q857" s="41">
        <v>10</v>
      </c>
      <c r="R857" s="41">
        <v>38</v>
      </c>
      <c r="S857" t="s">
        <v>1199</v>
      </c>
      <c r="T857" t="s">
        <v>3381</v>
      </c>
      <c r="U857" t="s">
        <v>3380</v>
      </c>
      <c r="V857" t="s">
        <v>1244</v>
      </c>
      <c r="AH857" t="s">
        <v>359</v>
      </c>
    </row>
    <row r="858" spans="1:34" ht="15.75">
      <c r="A858" s="29">
        <f t="shared" si="13"/>
        <v>3366</v>
      </c>
      <c r="B858" s="6">
        <v>993</v>
      </c>
      <c r="C858">
        <v>5</v>
      </c>
      <c r="D858" s="2">
        <v>1817</v>
      </c>
      <c r="E858">
        <v>616</v>
      </c>
      <c r="H858" t="s">
        <v>1541</v>
      </c>
      <c r="I858" s="2">
        <v>3366</v>
      </c>
      <c r="J858" s="2">
        <v>0</v>
      </c>
      <c r="K858" s="2" t="s">
        <v>870</v>
      </c>
      <c r="L858" s="43" t="s">
        <v>2308</v>
      </c>
      <c r="P858" s="41">
        <v>21</v>
      </c>
      <c r="Q858" s="41">
        <v>12</v>
      </c>
      <c r="R858" s="41">
        <v>86</v>
      </c>
      <c r="S858" t="s">
        <v>3343</v>
      </c>
      <c r="AH858" t="s">
        <v>359</v>
      </c>
    </row>
    <row r="859" spans="1:34" ht="15.75">
      <c r="A859" s="29">
        <f t="shared" si="13"/>
        <v>63</v>
      </c>
      <c r="B859" s="6">
        <v>993</v>
      </c>
      <c r="C859">
        <v>5</v>
      </c>
      <c r="D859" s="2">
        <v>1817</v>
      </c>
      <c r="E859">
        <v>617</v>
      </c>
      <c r="H859" t="s">
        <v>1541</v>
      </c>
      <c r="I859" s="2">
        <v>63</v>
      </c>
      <c r="J859" s="2">
        <v>0</v>
      </c>
      <c r="K859" s="2" t="s">
        <v>870</v>
      </c>
      <c r="L859" s="43" t="s">
        <v>2310</v>
      </c>
      <c r="P859" s="41">
        <v>24</v>
      </c>
      <c r="Q859" s="41">
        <v>9</v>
      </c>
      <c r="R859" s="41">
        <v>56</v>
      </c>
      <c r="S859" t="s">
        <v>3329</v>
      </c>
      <c r="AH859" t="s">
        <v>359</v>
      </c>
    </row>
    <row r="860" spans="1:34" ht="15.75">
      <c r="A860" s="29">
        <f t="shared" si="13"/>
        <v>423</v>
      </c>
      <c r="B860" s="6">
        <v>993</v>
      </c>
      <c r="C860">
        <v>5</v>
      </c>
      <c r="D860" s="2">
        <v>1817</v>
      </c>
      <c r="E860">
        <v>618</v>
      </c>
      <c r="H860" t="s">
        <v>1541</v>
      </c>
      <c r="I860" s="2">
        <v>423</v>
      </c>
      <c r="J860" s="2">
        <v>0</v>
      </c>
      <c r="K860" s="2" t="s">
        <v>870</v>
      </c>
      <c r="L860" s="43" t="s">
        <v>2310</v>
      </c>
      <c r="P860" s="41">
        <v>3</v>
      </c>
      <c r="Q860" s="41">
        <v>5</v>
      </c>
      <c r="R860" s="41">
        <v>35</v>
      </c>
      <c r="S860" t="s">
        <v>3329</v>
      </c>
      <c r="AH860" t="s">
        <v>359</v>
      </c>
    </row>
    <row r="861" spans="1:34" ht="15.75">
      <c r="A861" s="29">
        <f t="shared" si="13"/>
        <v>4489</v>
      </c>
      <c r="B861" s="6">
        <v>993</v>
      </c>
      <c r="C861">
        <v>5</v>
      </c>
      <c r="D861" s="2">
        <v>1817</v>
      </c>
      <c r="E861">
        <v>619</v>
      </c>
      <c r="H861" t="s">
        <v>1541</v>
      </c>
      <c r="I861" s="2">
        <v>4489</v>
      </c>
      <c r="J861" s="2">
        <v>0</v>
      </c>
      <c r="K861" s="2" t="s">
        <v>870</v>
      </c>
      <c r="L861" s="43" t="s">
        <v>2310</v>
      </c>
      <c r="P861" s="41">
        <v>18</v>
      </c>
      <c r="Q861" s="41">
        <v>1</v>
      </c>
      <c r="R861" s="41">
        <v>91</v>
      </c>
      <c r="S861" t="s">
        <v>3343</v>
      </c>
      <c r="AH861" t="s">
        <v>359</v>
      </c>
    </row>
    <row r="862" spans="1:34" ht="15.75">
      <c r="A862" s="29">
        <f t="shared" si="13"/>
        <v>9045</v>
      </c>
      <c r="B862" s="6">
        <v>993</v>
      </c>
      <c r="C862">
        <v>5</v>
      </c>
      <c r="D862" s="2">
        <v>1817</v>
      </c>
      <c r="E862">
        <v>620</v>
      </c>
      <c r="H862" t="s">
        <v>1541</v>
      </c>
      <c r="I862" s="2">
        <v>9045</v>
      </c>
      <c r="J862" s="2">
        <v>0</v>
      </c>
      <c r="K862" s="2" t="s">
        <v>870</v>
      </c>
      <c r="L862" s="43" t="s">
        <v>2310</v>
      </c>
      <c r="P862" s="41">
        <v>8</v>
      </c>
      <c r="Q862" s="41">
        <v>1</v>
      </c>
      <c r="R862" s="41">
        <v>65</v>
      </c>
      <c r="S862" t="s">
        <v>3321</v>
      </c>
      <c r="AH862" t="s">
        <v>359</v>
      </c>
    </row>
    <row r="863" spans="1:34" ht="15.75">
      <c r="A863" s="29">
        <f t="shared" si="13"/>
        <v>364</v>
      </c>
      <c r="B863" s="6">
        <v>993</v>
      </c>
      <c r="C863">
        <v>5</v>
      </c>
      <c r="D863" s="2">
        <v>1817</v>
      </c>
      <c r="E863">
        <v>621</v>
      </c>
      <c r="H863" t="s">
        <v>1540</v>
      </c>
      <c r="I863" s="2">
        <v>364</v>
      </c>
      <c r="J863" s="2">
        <v>0</v>
      </c>
      <c r="K863" s="2" t="s">
        <v>870</v>
      </c>
      <c r="L863" s="43" t="s">
        <v>2311</v>
      </c>
      <c r="P863" s="41">
        <v>12</v>
      </c>
      <c r="Q863" s="41">
        <v>10</v>
      </c>
      <c r="R863" s="41">
        <v>71</v>
      </c>
      <c r="S863" t="s">
        <v>3321</v>
      </c>
      <c r="AH863" t="s">
        <v>359</v>
      </c>
    </row>
    <row r="864" spans="1:34" ht="15.75">
      <c r="A864" s="29">
        <f t="shared" si="13"/>
        <v>721</v>
      </c>
      <c r="B864" s="6">
        <v>994</v>
      </c>
      <c r="C864">
        <v>5</v>
      </c>
      <c r="D864" s="2">
        <v>1817</v>
      </c>
      <c r="E864">
        <v>622</v>
      </c>
      <c r="H864" t="s">
        <v>1540</v>
      </c>
      <c r="I864" s="2">
        <v>721</v>
      </c>
      <c r="J864" s="2">
        <v>0</v>
      </c>
      <c r="K864" s="2" t="s">
        <v>870</v>
      </c>
      <c r="L864" s="43" t="s">
        <v>2321</v>
      </c>
      <c r="P864" s="41">
        <v>23</v>
      </c>
      <c r="Q864" s="41">
        <v>6</v>
      </c>
      <c r="R864" s="41">
        <v>62</v>
      </c>
      <c r="S864" t="s">
        <v>3321</v>
      </c>
      <c r="AH864" t="s">
        <v>359</v>
      </c>
    </row>
    <row r="865" spans="1:34" ht="15.75">
      <c r="A865" s="29">
        <f t="shared" si="13"/>
        <v>3876</v>
      </c>
      <c r="B865" s="6">
        <v>994</v>
      </c>
      <c r="C865">
        <v>5</v>
      </c>
      <c r="D865" s="2">
        <v>1817</v>
      </c>
      <c r="E865">
        <v>623</v>
      </c>
      <c r="H865" t="s">
        <v>1541</v>
      </c>
      <c r="I865" s="2">
        <v>3876</v>
      </c>
      <c r="J865" s="2">
        <v>0</v>
      </c>
      <c r="K865" s="2" t="s">
        <v>870</v>
      </c>
      <c r="L865" s="43" t="s">
        <v>1490</v>
      </c>
      <c r="P865" s="41">
        <v>19</v>
      </c>
      <c r="Q865" s="41">
        <v>8</v>
      </c>
      <c r="R865" s="41">
        <v>59</v>
      </c>
      <c r="S865" t="s">
        <v>3329</v>
      </c>
      <c r="AH865" t="s">
        <v>359</v>
      </c>
    </row>
    <row r="866" spans="1:34" ht="15.75">
      <c r="A866" s="29">
        <f t="shared" si="13"/>
        <v>3089</v>
      </c>
      <c r="B866" s="6">
        <v>994</v>
      </c>
      <c r="C866">
        <v>5</v>
      </c>
      <c r="D866" s="2">
        <v>1817</v>
      </c>
      <c r="E866">
        <v>624</v>
      </c>
      <c r="H866" t="s">
        <v>1540</v>
      </c>
      <c r="I866" s="2">
        <f>416+2673</f>
        <v>3089</v>
      </c>
      <c r="J866" s="2">
        <v>0</v>
      </c>
      <c r="K866" s="2" t="s">
        <v>870</v>
      </c>
      <c r="L866" s="43" t="s">
        <v>1492</v>
      </c>
      <c r="P866" s="41">
        <v>25</v>
      </c>
      <c r="Q866" s="41">
        <v>1</v>
      </c>
      <c r="R866" s="41">
        <v>80</v>
      </c>
      <c r="S866" t="s">
        <v>3324</v>
      </c>
      <c r="AH866" t="s">
        <v>359</v>
      </c>
    </row>
    <row r="867" spans="1:34" ht="15.75">
      <c r="A867" s="29">
        <f t="shared" si="13"/>
        <v>63</v>
      </c>
      <c r="B867" s="6">
        <v>994</v>
      </c>
      <c r="C867">
        <v>5</v>
      </c>
      <c r="D867" s="2">
        <v>1817</v>
      </c>
      <c r="E867">
        <v>625</v>
      </c>
      <c r="H867" t="s">
        <v>1540</v>
      </c>
      <c r="I867" s="2">
        <v>63</v>
      </c>
      <c r="J867" s="2">
        <v>0</v>
      </c>
      <c r="K867" s="2" t="s">
        <v>870</v>
      </c>
      <c r="L867" s="43" t="s">
        <v>4191</v>
      </c>
      <c r="P867" s="41">
        <v>30</v>
      </c>
      <c r="Q867" s="41">
        <v>3</v>
      </c>
      <c r="R867" s="41">
        <v>44</v>
      </c>
      <c r="S867" t="s">
        <v>3321</v>
      </c>
      <c r="AH867" t="s">
        <v>359</v>
      </c>
    </row>
    <row r="868" spans="1:34" ht="15.75">
      <c r="A868" s="29">
        <f t="shared" si="13"/>
        <v>420</v>
      </c>
      <c r="B868" s="6">
        <v>994</v>
      </c>
      <c r="C868">
        <v>5</v>
      </c>
      <c r="D868" s="2">
        <v>1817</v>
      </c>
      <c r="E868">
        <v>626</v>
      </c>
      <c r="H868" t="s">
        <v>1541</v>
      </c>
      <c r="I868" s="2">
        <v>420</v>
      </c>
      <c r="J868" s="2">
        <v>0</v>
      </c>
      <c r="K868" s="2" t="s">
        <v>870</v>
      </c>
      <c r="L868" s="43" t="s">
        <v>4191</v>
      </c>
      <c r="P868" s="41">
        <v>27</v>
      </c>
      <c r="Q868" s="41">
        <v>11</v>
      </c>
      <c r="R868" s="41">
        <v>73</v>
      </c>
      <c r="S868" t="s">
        <v>3329</v>
      </c>
      <c r="AH868" t="s">
        <v>359</v>
      </c>
    </row>
    <row r="869" spans="1:34" ht="15.75">
      <c r="A869" s="29">
        <f t="shared" si="13"/>
        <v>6907</v>
      </c>
      <c r="B869" s="10">
        <v>994</v>
      </c>
      <c r="C869">
        <v>5</v>
      </c>
      <c r="D869" s="8">
        <v>1817</v>
      </c>
      <c r="E869">
        <v>627</v>
      </c>
      <c r="F869" s="9"/>
      <c r="G869" s="9"/>
      <c r="H869" s="9" t="s">
        <v>1540</v>
      </c>
      <c r="I869" s="8">
        <v>1767</v>
      </c>
      <c r="J869" s="8">
        <v>257</v>
      </c>
      <c r="K869" s="2" t="s">
        <v>870</v>
      </c>
      <c r="L869" s="43" t="s">
        <v>4222</v>
      </c>
      <c r="M869" s="41" t="s">
        <v>4223</v>
      </c>
      <c r="N869" s="41" t="s">
        <v>851</v>
      </c>
      <c r="O869" s="41" t="s">
        <v>4224</v>
      </c>
      <c r="P869" s="41">
        <v>22</v>
      </c>
      <c r="Q869" s="41">
        <v>4</v>
      </c>
      <c r="R869" s="41">
        <v>81</v>
      </c>
      <c r="S869" t="s">
        <v>2325</v>
      </c>
      <c r="T869" t="s">
        <v>2326</v>
      </c>
      <c r="V869" t="s">
        <v>2327</v>
      </c>
      <c r="X869">
        <v>1</v>
      </c>
      <c r="Y869" t="s">
        <v>2328</v>
      </c>
      <c r="AH869" t="s">
        <v>359</v>
      </c>
    </row>
    <row r="870" spans="1:34" ht="15.75">
      <c r="A870" s="29">
        <f t="shared" si="13"/>
        <v>30345</v>
      </c>
      <c r="B870" s="6">
        <v>995</v>
      </c>
      <c r="C870">
        <v>5</v>
      </c>
      <c r="D870" s="2">
        <v>1817</v>
      </c>
      <c r="E870">
        <v>629</v>
      </c>
      <c r="H870" t="s">
        <v>1540</v>
      </c>
      <c r="I870" s="2">
        <v>30345</v>
      </c>
      <c r="J870" s="2">
        <v>0</v>
      </c>
      <c r="K870" s="2" t="s">
        <v>870</v>
      </c>
      <c r="L870" s="43" t="s">
        <v>1568</v>
      </c>
      <c r="M870" s="41" t="s">
        <v>1569</v>
      </c>
      <c r="N870" s="41" t="s">
        <v>1570</v>
      </c>
      <c r="O870" s="41" t="s">
        <v>5944</v>
      </c>
      <c r="P870" s="41">
        <v>21</v>
      </c>
      <c r="Q870" s="41">
        <v>4</v>
      </c>
      <c r="R870" s="41" t="s">
        <v>1547</v>
      </c>
      <c r="S870" t="s">
        <v>1547</v>
      </c>
      <c r="T870" t="s">
        <v>1571</v>
      </c>
      <c r="V870" t="s">
        <v>1572</v>
      </c>
      <c r="AA870" t="s">
        <v>1573</v>
      </c>
      <c r="AH870" t="s">
        <v>359</v>
      </c>
    </row>
    <row r="871" spans="1:34" ht="15.75">
      <c r="A871" s="29">
        <f t="shared" si="13"/>
        <v>48</v>
      </c>
      <c r="B871" s="6">
        <v>995</v>
      </c>
      <c r="C871">
        <v>5</v>
      </c>
      <c r="D871" s="2">
        <v>1817</v>
      </c>
      <c r="E871">
        <v>630</v>
      </c>
      <c r="H871" t="s">
        <v>1541</v>
      </c>
      <c r="I871" s="2">
        <v>48</v>
      </c>
      <c r="J871" s="2">
        <v>0</v>
      </c>
      <c r="K871" s="2" t="s">
        <v>870</v>
      </c>
      <c r="L871" s="43" t="s">
        <v>4207</v>
      </c>
      <c r="P871" s="41">
        <v>9</v>
      </c>
      <c r="Q871" s="41">
        <v>3</v>
      </c>
      <c r="R871" s="41">
        <v>68</v>
      </c>
      <c r="S871" t="s">
        <v>3324</v>
      </c>
      <c r="AH871" t="s">
        <v>359</v>
      </c>
    </row>
    <row r="872" spans="1:34" ht="15.75">
      <c r="A872" s="29">
        <f t="shared" si="13"/>
        <v>256</v>
      </c>
      <c r="B872" s="6">
        <v>995</v>
      </c>
      <c r="C872">
        <v>5</v>
      </c>
      <c r="D872" s="2">
        <v>1817</v>
      </c>
      <c r="E872">
        <v>631</v>
      </c>
      <c r="H872" t="s">
        <v>1541</v>
      </c>
      <c r="I872" s="2">
        <v>256</v>
      </c>
      <c r="J872" s="2">
        <v>0</v>
      </c>
      <c r="K872" s="2" t="s">
        <v>870</v>
      </c>
      <c r="L872" s="43" t="s">
        <v>4207</v>
      </c>
      <c r="P872" s="41">
        <v>18</v>
      </c>
      <c r="Q872" s="41">
        <v>6</v>
      </c>
      <c r="R872" s="41">
        <v>68</v>
      </c>
      <c r="S872" t="s">
        <v>3343</v>
      </c>
      <c r="AH872" t="s">
        <v>359</v>
      </c>
    </row>
    <row r="873" spans="1:34" ht="15.75">
      <c r="A873" s="29">
        <f t="shared" si="13"/>
        <v>64</v>
      </c>
      <c r="B873" s="6">
        <v>995</v>
      </c>
      <c r="C873">
        <v>5</v>
      </c>
      <c r="D873" s="2">
        <v>1817</v>
      </c>
      <c r="E873">
        <v>632</v>
      </c>
      <c r="H873" t="s">
        <v>1541</v>
      </c>
      <c r="I873" s="2">
        <v>64</v>
      </c>
      <c r="J873" s="2">
        <v>0</v>
      </c>
      <c r="K873" s="2" t="s">
        <v>870</v>
      </c>
      <c r="L873" s="43" t="s">
        <v>4208</v>
      </c>
      <c r="P873" s="41">
        <v>23</v>
      </c>
      <c r="Q873" s="41">
        <v>12</v>
      </c>
      <c r="R873" s="41">
        <v>25</v>
      </c>
      <c r="S873" t="s">
        <v>3321</v>
      </c>
      <c r="AH873" t="s">
        <v>359</v>
      </c>
    </row>
    <row r="874" spans="1:34" ht="15.75">
      <c r="A874" s="29">
        <f t="shared" si="13"/>
        <v>30370</v>
      </c>
      <c r="B874" s="6">
        <v>995</v>
      </c>
      <c r="C874">
        <v>5</v>
      </c>
      <c r="D874" s="2">
        <v>1817</v>
      </c>
      <c r="E874">
        <v>633</v>
      </c>
      <c r="H874" t="s">
        <v>1540</v>
      </c>
      <c r="I874" s="2">
        <f>345+25+30000</f>
        <v>30370</v>
      </c>
      <c r="J874" s="2">
        <v>0</v>
      </c>
      <c r="K874" s="2" t="s">
        <v>870</v>
      </c>
      <c r="L874" s="43" t="s">
        <v>1574</v>
      </c>
      <c r="M874" s="41" t="s">
        <v>1575</v>
      </c>
      <c r="N874" s="41" t="s">
        <v>1576</v>
      </c>
      <c r="O874" s="41" t="s">
        <v>1577</v>
      </c>
      <c r="P874" s="41">
        <v>25</v>
      </c>
      <c r="Q874" s="41">
        <v>10</v>
      </c>
      <c r="R874" s="41">
        <v>39</v>
      </c>
      <c r="S874" t="s">
        <v>1578</v>
      </c>
      <c r="T874" t="s">
        <v>3440</v>
      </c>
      <c r="V874" t="s">
        <v>3372</v>
      </c>
      <c r="AH874" t="s">
        <v>359</v>
      </c>
    </row>
    <row r="875" spans="1:34" ht="15.75">
      <c r="A875" s="29">
        <f t="shared" si="13"/>
        <v>878</v>
      </c>
      <c r="B875" s="6">
        <v>995</v>
      </c>
      <c r="C875">
        <v>5</v>
      </c>
      <c r="D875" s="2">
        <v>1817</v>
      </c>
      <c r="E875">
        <v>634</v>
      </c>
      <c r="H875" t="s">
        <v>1540</v>
      </c>
      <c r="I875" s="2">
        <v>878</v>
      </c>
      <c r="J875" s="2">
        <v>0</v>
      </c>
      <c r="K875" s="2" t="s">
        <v>870</v>
      </c>
      <c r="L875" s="43" t="s">
        <v>4211</v>
      </c>
      <c r="P875" s="41">
        <v>20</v>
      </c>
      <c r="Q875" s="41">
        <v>6</v>
      </c>
      <c r="R875" s="41">
        <v>78</v>
      </c>
      <c r="S875" t="s">
        <v>3329</v>
      </c>
      <c r="AH875" t="s">
        <v>359</v>
      </c>
    </row>
    <row r="876" spans="1:34" ht="15.75">
      <c r="A876" s="29">
        <f t="shared" si="13"/>
        <v>1060</v>
      </c>
      <c r="B876" s="6">
        <v>995</v>
      </c>
      <c r="C876">
        <v>5</v>
      </c>
      <c r="D876" s="2">
        <v>1817</v>
      </c>
      <c r="E876">
        <v>635</v>
      </c>
      <c r="H876" t="s">
        <v>1541</v>
      </c>
      <c r="I876" s="2">
        <v>1060</v>
      </c>
      <c r="J876" s="2">
        <v>0</v>
      </c>
      <c r="K876" s="2" t="s">
        <v>870</v>
      </c>
      <c r="L876" s="43" t="s">
        <v>4211</v>
      </c>
      <c r="P876" s="41">
        <v>1</v>
      </c>
      <c r="Q876" s="41">
        <v>10</v>
      </c>
      <c r="R876" s="41">
        <v>51</v>
      </c>
      <c r="S876" t="s">
        <v>3321</v>
      </c>
      <c r="AH876" t="s">
        <v>359</v>
      </c>
    </row>
    <row r="877" spans="1:34" ht="15.75">
      <c r="A877" s="29">
        <f t="shared" si="13"/>
        <v>97087</v>
      </c>
      <c r="B877" s="6">
        <v>995</v>
      </c>
      <c r="C877">
        <v>5</v>
      </c>
      <c r="D877" s="2">
        <v>1817</v>
      </c>
      <c r="E877">
        <v>637</v>
      </c>
      <c r="H877" t="s">
        <v>1541</v>
      </c>
      <c r="I877" s="2">
        <f>56218+40869</f>
        <v>97087</v>
      </c>
      <c r="J877" s="2">
        <v>0</v>
      </c>
      <c r="K877" s="2" t="s">
        <v>870</v>
      </c>
      <c r="L877" s="43" t="s">
        <v>1579</v>
      </c>
      <c r="M877" s="41" t="s">
        <v>1580</v>
      </c>
      <c r="O877" s="41" t="s">
        <v>1581</v>
      </c>
      <c r="P877" s="41">
        <v>25</v>
      </c>
      <c r="Q877" s="41">
        <v>11</v>
      </c>
      <c r="R877" s="41" t="s">
        <v>1547</v>
      </c>
      <c r="S877" t="s">
        <v>1582</v>
      </c>
      <c r="T877" t="s">
        <v>1608</v>
      </c>
      <c r="V877" t="s">
        <v>1584</v>
      </c>
      <c r="AA877" t="s">
        <v>1585</v>
      </c>
      <c r="AH877" t="s">
        <v>359</v>
      </c>
    </row>
    <row r="878" spans="1:34" ht="15.75">
      <c r="A878" s="29">
        <f t="shared" si="13"/>
        <v>946</v>
      </c>
      <c r="B878" s="6">
        <v>995</v>
      </c>
      <c r="C878">
        <v>5</v>
      </c>
      <c r="D878" s="2">
        <v>1817</v>
      </c>
      <c r="E878">
        <v>638</v>
      </c>
      <c r="H878" t="s">
        <v>1540</v>
      </c>
      <c r="I878" s="2">
        <v>946</v>
      </c>
      <c r="J878" s="2">
        <v>0</v>
      </c>
      <c r="K878" s="2" t="s">
        <v>870</v>
      </c>
      <c r="L878" s="43" t="s">
        <v>4213</v>
      </c>
      <c r="P878" s="41">
        <v>21</v>
      </c>
      <c r="Q878" s="41">
        <v>12</v>
      </c>
      <c r="R878" s="41">
        <v>69</v>
      </c>
      <c r="S878" t="s">
        <v>3324</v>
      </c>
      <c r="AH878" t="s">
        <v>359</v>
      </c>
    </row>
    <row r="879" spans="1:34" ht="15.75">
      <c r="A879" s="29">
        <f t="shared" si="13"/>
        <v>158</v>
      </c>
      <c r="B879" s="6">
        <v>996</v>
      </c>
      <c r="C879">
        <v>5</v>
      </c>
      <c r="D879" s="2">
        <v>1817</v>
      </c>
      <c r="E879">
        <v>639</v>
      </c>
      <c r="H879" t="s">
        <v>1541</v>
      </c>
      <c r="I879" s="2">
        <v>158</v>
      </c>
      <c r="J879" s="2">
        <v>0</v>
      </c>
      <c r="K879" s="2" t="s">
        <v>870</v>
      </c>
      <c r="L879" s="43" t="s">
        <v>4214</v>
      </c>
      <c r="P879" s="41">
        <v>21</v>
      </c>
      <c r="Q879" s="41">
        <v>7</v>
      </c>
      <c r="R879" s="41">
        <v>61</v>
      </c>
      <c r="S879" t="s">
        <v>3321</v>
      </c>
      <c r="AH879" t="s">
        <v>359</v>
      </c>
    </row>
    <row r="880" spans="1:34" ht="15.75">
      <c r="A880" s="29">
        <f t="shared" si="13"/>
        <v>994</v>
      </c>
      <c r="B880" s="6">
        <v>996</v>
      </c>
      <c r="C880">
        <v>5</v>
      </c>
      <c r="D880" s="2">
        <v>1817</v>
      </c>
      <c r="E880">
        <v>640</v>
      </c>
      <c r="H880" t="s">
        <v>1540</v>
      </c>
      <c r="I880" s="2">
        <v>994</v>
      </c>
      <c r="J880" s="2">
        <v>0</v>
      </c>
      <c r="K880" s="2" t="s">
        <v>871</v>
      </c>
      <c r="L880" s="43" t="s">
        <v>4215</v>
      </c>
      <c r="P880" s="41">
        <v>6</v>
      </c>
      <c r="Q880" s="41">
        <v>10</v>
      </c>
      <c r="R880" s="41">
        <v>75</v>
      </c>
      <c r="S880" t="s">
        <v>3324</v>
      </c>
      <c r="AH880" t="s">
        <v>359</v>
      </c>
    </row>
    <row r="881" spans="1:34" ht="15.75">
      <c r="A881" s="29">
        <f t="shared" si="13"/>
        <v>7039</v>
      </c>
      <c r="B881" s="6">
        <v>997</v>
      </c>
      <c r="C881">
        <v>5</v>
      </c>
      <c r="D881" s="2">
        <v>1817</v>
      </c>
      <c r="E881">
        <v>641</v>
      </c>
      <c r="H881" t="s">
        <v>1540</v>
      </c>
      <c r="I881" s="2">
        <v>7039</v>
      </c>
      <c r="J881" s="2">
        <v>0</v>
      </c>
      <c r="K881" s="2" t="s">
        <v>871</v>
      </c>
      <c r="L881" s="43" t="s">
        <v>4807</v>
      </c>
      <c r="P881" s="41">
        <v>22</v>
      </c>
      <c r="Q881" s="41">
        <v>9</v>
      </c>
      <c r="R881" s="41" t="s">
        <v>1547</v>
      </c>
      <c r="S881" t="s">
        <v>3321</v>
      </c>
      <c r="AH881" t="s">
        <v>359</v>
      </c>
    </row>
    <row r="882" spans="1:34" ht="15.75">
      <c r="A882" s="29">
        <f t="shared" si="13"/>
        <v>762</v>
      </c>
      <c r="B882" s="6">
        <v>997</v>
      </c>
      <c r="C882">
        <v>5</v>
      </c>
      <c r="D882" s="2">
        <v>1817</v>
      </c>
      <c r="E882">
        <v>642</v>
      </c>
      <c r="H882" t="s">
        <v>1541</v>
      </c>
      <c r="I882" s="2">
        <v>762</v>
      </c>
      <c r="J882" s="2">
        <v>0</v>
      </c>
      <c r="K882" s="2" t="s">
        <v>871</v>
      </c>
      <c r="L882" s="43" t="s">
        <v>4808</v>
      </c>
      <c r="P882" s="41">
        <v>8</v>
      </c>
      <c r="Q882" s="41">
        <v>10</v>
      </c>
      <c r="R882" s="41">
        <v>78</v>
      </c>
      <c r="S882" t="s">
        <v>3343</v>
      </c>
      <c r="AH882" t="s">
        <v>359</v>
      </c>
    </row>
    <row r="883" spans="1:34" ht="15.75">
      <c r="A883" s="29">
        <f t="shared" si="13"/>
        <v>2922</v>
      </c>
      <c r="B883" s="6">
        <v>997</v>
      </c>
      <c r="C883">
        <v>5</v>
      </c>
      <c r="D883" s="2">
        <v>1817</v>
      </c>
      <c r="E883">
        <v>643</v>
      </c>
      <c r="H883" t="s">
        <v>1540</v>
      </c>
      <c r="I883" s="2">
        <v>2922</v>
      </c>
      <c r="J883" s="2">
        <v>0</v>
      </c>
      <c r="K883" s="2" t="s">
        <v>871</v>
      </c>
      <c r="L883" s="43" t="s">
        <v>4808</v>
      </c>
      <c r="P883" s="41">
        <v>18</v>
      </c>
      <c r="Q883" s="41">
        <v>3</v>
      </c>
      <c r="R883" s="41">
        <v>72</v>
      </c>
      <c r="S883" t="s">
        <v>3321</v>
      </c>
      <c r="AH883" t="s">
        <v>359</v>
      </c>
    </row>
    <row r="884" spans="1:34" ht="15.75">
      <c r="A884" s="29">
        <f t="shared" si="13"/>
        <v>9679</v>
      </c>
      <c r="B884" s="6">
        <v>997</v>
      </c>
      <c r="C884">
        <v>5</v>
      </c>
      <c r="D884" s="2">
        <v>1817</v>
      </c>
      <c r="E884">
        <v>644</v>
      </c>
      <c r="H884" t="s">
        <v>1540</v>
      </c>
      <c r="I884" s="2">
        <v>9679</v>
      </c>
      <c r="J884" s="2">
        <v>0</v>
      </c>
      <c r="K884" s="2" t="s">
        <v>871</v>
      </c>
      <c r="L884" s="43" t="s">
        <v>4810</v>
      </c>
      <c r="P884" s="41">
        <v>24</v>
      </c>
      <c r="Q884" s="41">
        <v>2</v>
      </c>
      <c r="R884" s="41">
        <v>52</v>
      </c>
      <c r="S884" t="s">
        <v>1547</v>
      </c>
      <c r="AH884" t="s">
        <v>359</v>
      </c>
    </row>
    <row r="885" spans="1:34" ht="15.75">
      <c r="A885" s="29">
        <f t="shared" si="13"/>
        <v>1109</v>
      </c>
      <c r="B885" s="6">
        <v>998</v>
      </c>
      <c r="C885">
        <v>5</v>
      </c>
      <c r="D885" s="2">
        <v>1817</v>
      </c>
      <c r="E885">
        <v>645</v>
      </c>
      <c r="H885" t="s">
        <v>850</v>
      </c>
      <c r="I885" s="2">
        <v>1109</v>
      </c>
      <c r="J885" s="2">
        <v>0</v>
      </c>
      <c r="K885" s="2" t="s">
        <v>871</v>
      </c>
      <c r="L885" s="43" t="s">
        <v>4812</v>
      </c>
      <c r="P885" s="41">
        <v>27</v>
      </c>
      <c r="Q885" s="41">
        <v>10</v>
      </c>
      <c r="R885" s="41">
        <v>60</v>
      </c>
      <c r="S885" t="s">
        <v>3329</v>
      </c>
      <c r="AH885" t="s">
        <v>359</v>
      </c>
    </row>
    <row r="886" spans="1:34" ht="15.75">
      <c r="A886" s="29">
        <f t="shared" si="13"/>
        <v>43</v>
      </c>
      <c r="B886" s="6">
        <v>998</v>
      </c>
      <c r="C886">
        <v>5</v>
      </c>
      <c r="D886" s="2">
        <v>1817</v>
      </c>
      <c r="E886">
        <v>646</v>
      </c>
      <c r="H886" t="s">
        <v>1540</v>
      </c>
      <c r="I886" s="2">
        <v>43</v>
      </c>
      <c r="J886" s="2">
        <v>0</v>
      </c>
      <c r="K886" s="2" t="s">
        <v>871</v>
      </c>
      <c r="L886" s="43" t="s">
        <v>4814</v>
      </c>
      <c r="P886" s="41">
        <v>25</v>
      </c>
      <c r="Q886" s="41">
        <v>2</v>
      </c>
      <c r="R886" s="41">
        <v>63</v>
      </c>
      <c r="S886" t="s">
        <v>3321</v>
      </c>
      <c r="AH886" t="s">
        <v>359</v>
      </c>
    </row>
    <row r="887" spans="1:34" ht="15.75">
      <c r="A887" s="29">
        <f t="shared" si="13"/>
        <v>184</v>
      </c>
      <c r="B887" s="6">
        <v>998</v>
      </c>
      <c r="C887">
        <v>5</v>
      </c>
      <c r="D887" s="2">
        <v>1817</v>
      </c>
      <c r="E887">
        <v>647</v>
      </c>
      <c r="H887" t="s">
        <v>1541</v>
      </c>
      <c r="I887" s="2">
        <v>184</v>
      </c>
      <c r="J887" s="2">
        <v>0</v>
      </c>
      <c r="K887" s="2" t="s">
        <v>871</v>
      </c>
      <c r="L887" s="43" t="s">
        <v>4815</v>
      </c>
      <c r="P887" s="41">
        <v>9</v>
      </c>
      <c r="Q887" s="41">
        <v>4</v>
      </c>
      <c r="R887" s="41">
        <v>45</v>
      </c>
      <c r="S887" t="s">
        <v>3321</v>
      </c>
      <c r="AH887" t="s">
        <v>359</v>
      </c>
    </row>
    <row r="888" spans="1:34" ht="15.75">
      <c r="A888" s="29">
        <f t="shared" si="13"/>
        <v>269</v>
      </c>
      <c r="B888" s="6">
        <v>998</v>
      </c>
      <c r="C888">
        <v>5</v>
      </c>
      <c r="D888" s="2">
        <v>1817</v>
      </c>
      <c r="E888">
        <v>648</v>
      </c>
      <c r="H888" t="s">
        <v>1540</v>
      </c>
      <c r="I888" s="2">
        <v>269</v>
      </c>
      <c r="J888" s="2">
        <v>0</v>
      </c>
      <c r="K888" s="2" t="s">
        <v>871</v>
      </c>
      <c r="L888" s="43" t="s">
        <v>4818</v>
      </c>
      <c r="P888" s="41">
        <v>10</v>
      </c>
      <c r="Q888" s="41">
        <v>3</v>
      </c>
      <c r="R888" s="41">
        <v>76</v>
      </c>
      <c r="S888" t="s">
        <v>1547</v>
      </c>
      <c r="AH888" t="s">
        <v>359</v>
      </c>
    </row>
    <row r="889" spans="1:34" ht="15.75">
      <c r="A889" s="29">
        <f t="shared" si="13"/>
        <v>16014</v>
      </c>
      <c r="B889" s="6">
        <v>998</v>
      </c>
      <c r="C889">
        <v>5</v>
      </c>
      <c r="D889" s="2">
        <v>1817</v>
      </c>
      <c r="E889">
        <v>649</v>
      </c>
      <c r="H889" t="s">
        <v>1540</v>
      </c>
      <c r="I889" s="2">
        <v>16014</v>
      </c>
      <c r="J889" s="2">
        <v>0</v>
      </c>
      <c r="K889" s="2" t="s">
        <v>871</v>
      </c>
      <c r="L889" s="43" t="s">
        <v>4818</v>
      </c>
      <c r="P889" s="41">
        <v>26</v>
      </c>
      <c r="Q889" s="41">
        <v>8</v>
      </c>
      <c r="R889" s="41">
        <v>65</v>
      </c>
      <c r="S889" t="s">
        <v>3321</v>
      </c>
      <c r="AH889" t="s">
        <v>359</v>
      </c>
    </row>
    <row r="890" spans="1:34" ht="15.75">
      <c r="A890" s="29">
        <f t="shared" si="13"/>
        <v>230207</v>
      </c>
      <c r="B890" s="6">
        <v>998</v>
      </c>
      <c r="C890">
        <v>5</v>
      </c>
      <c r="D890" s="2">
        <v>1817</v>
      </c>
      <c r="E890">
        <v>650</v>
      </c>
      <c r="H890" t="s">
        <v>1541</v>
      </c>
      <c r="I890" s="2">
        <v>118207</v>
      </c>
      <c r="J890" s="2">
        <v>5600</v>
      </c>
      <c r="K890" s="2" t="s">
        <v>871</v>
      </c>
      <c r="L890" s="43" t="s">
        <v>1586</v>
      </c>
      <c r="M890" s="41" t="s">
        <v>1558</v>
      </c>
      <c r="N890" s="41" t="s">
        <v>1551</v>
      </c>
      <c r="O890" s="41" t="s">
        <v>1587</v>
      </c>
      <c r="P890" s="41">
        <v>25</v>
      </c>
      <c r="Q890" s="41">
        <v>4</v>
      </c>
      <c r="R890" s="41">
        <v>86</v>
      </c>
      <c r="S890" t="s">
        <v>1588</v>
      </c>
      <c r="T890" t="s">
        <v>1589</v>
      </c>
      <c r="V890" t="s">
        <v>1182</v>
      </c>
      <c r="X890">
        <v>1</v>
      </c>
      <c r="Y890" t="s">
        <v>1587</v>
      </c>
      <c r="AH890" t="s">
        <v>359</v>
      </c>
    </row>
    <row r="891" spans="1:34" ht="15.75">
      <c r="A891" s="29">
        <f t="shared" si="13"/>
        <v>993</v>
      </c>
      <c r="B891" s="6">
        <v>999</v>
      </c>
      <c r="C891">
        <v>5</v>
      </c>
      <c r="D891" s="2">
        <v>1817</v>
      </c>
      <c r="E891">
        <v>651</v>
      </c>
      <c r="H891" t="s">
        <v>1541</v>
      </c>
      <c r="I891" s="2">
        <v>993</v>
      </c>
      <c r="J891" s="2">
        <v>0</v>
      </c>
      <c r="K891" s="2" t="s">
        <v>871</v>
      </c>
      <c r="L891" s="43" t="s">
        <v>4798</v>
      </c>
      <c r="P891" s="41">
        <v>29</v>
      </c>
      <c r="Q891" s="41">
        <v>12</v>
      </c>
      <c r="R891" s="41" t="s">
        <v>1547</v>
      </c>
      <c r="S891" t="s">
        <v>3321</v>
      </c>
      <c r="AH891" t="s">
        <v>359</v>
      </c>
    </row>
    <row r="892" spans="1:34" ht="15.75">
      <c r="A892" s="29">
        <f t="shared" si="13"/>
        <v>251</v>
      </c>
      <c r="B892" s="6">
        <v>999</v>
      </c>
      <c r="C892">
        <v>5</v>
      </c>
      <c r="D892" s="2">
        <v>1817</v>
      </c>
      <c r="E892">
        <v>652</v>
      </c>
      <c r="H892" t="s">
        <v>1541</v>
      </c>
      <c r="I892" s="2">
        <v>251</v>
      </c>
      <c r="J892" s="2">
        <v>0</v>
      </c>
      <c r="K892" s="2" t="s">
        <v>871</v>
      </c>
      <c r="L892" s="43" t="s">
        <v>4797</v>
      </c>
      <c r="P892" s="41">
        <v>26</v>
      </c>
      <c r="Q892" s="41">
        <v>5</v>
      </c>
      <c r="R892" s="41">
        <v>43</v>
      </c>
      <c r="S892" t="s">
        <v>3343</v>
      </c>
      <c r="AH892" t="s">
        <v>359</v>
      </c>
    </row>
    <row r="893" spans="1:34" ht="15.75">
      <c r="A893" s="29">
        <f t="shared" si="13"/>
        <v>342</v>
      </c>
      <c r="B893" s="6">
        <v>999</v>
      </c>
      <c r="C893">
        <v>5</v>
      </c>
      <c r="D893" s="2">
        <v>1817</v>
      </c>
      <c r="E893">
        <v>653</v>
      </c>
      <c r="H893" t="s">
        <v>1540</v>
      </c>
      <c r="I893" s="2">
        <v>342</v>
      </c>
      <c r="J893" s="2">
        <v>0</v>
      </c>
      <c r="K893" s="2" t="s">
        <v>871</v>
      </c>
      <c r="L893" s="43" t="s">
        <v>4797</v>
      </c>
      <c r="P893" s="41">
        <v>24</v>
      </c>
      <c r="Q893" s="41">
        <v>6</v>
      </c>
      <c r="R893" s="41">
        <v>73</v>
      </c>
      <c r="S893" t="s">
        <v>3321</v>
      </c>
      <c r="AH893" t="s">
        <v>359</v>
      </c>
    </row>
    <row r="894" spans="1:34" ht="15.75">
      <c r="A894" s="29">
        <f t="shared" si="13"/>
        <v>5035</v>
      </c>
      <c r="B894" s="6">
        <v>999</v>
      </c>
      <c r="C894">
        <v>5</v>
      </c>
      <c r="D894" s="2">
        <v>1817</v>
      </c>
      <c r="E894">
        <v>654</v>
      </c>
      <c r="H894" t="s">
        <v>1541</v>
      </c>
      <c r="I894" s="2">
        <v>5035</v>
      </c>
      <c r="J894" s="2">
        <v>0</v>
      </c>
      <c r="K894" s="2" t="s">
        <v>871</v>
      </c>
      <c r="L894" s="43" t="s">
        <v>4799</v>
      </c>
      <c r="P894" s="41">
        <v>30</v>
      </c>
      <c r="Q894" s="41">
        <v>7</v>
      </c>
      <c r="R894" s="41">
        <v>50</v>
      </c>
      <c r="S894" t="s">
        <v>3321</v>
      </c>
      <c r="AH894" t="s">
        <v>359</v>
      </c>
    </row>
    <row r="895" spans="1:34" ht="15.75">
      <c r="A895" s="29">
        <f t="shared" si="13"/>
        <v>5924</v>
      </c>
      <c r="B895" s="6">
        <v>1000</v>
      </c>
      <c r="C895">
        <v>5</v>
      </c>
      <c r="D895" s="2">
        <v>1817</v>
      </c>
      <c r="E895">
        <v>655</v>
      </c>
      <c r="I895" s="2">
        <v>5924</v>
      </c>
      <c r="J895" s="2">
        <v>0</v>
      </c>
      <c r="K895" s="2" t="s">
        <v>871</v>
      </c>
      <c r="L895" s="43" t="s">
        <v>4800</v>
      </c>
      <c r="P895" s="41">
        <v>25</v>
      </c>
      <c r="Q895" s="41">
        <v>12</v>
      </c>
      <c r="R895" s="41">
        <v>72</v>
      </c>
      <c r="S895" t="s">
        <v>3321</v>
      </c>
      <c r="AH895" t="s">
        <v>359</v>
      </c>
    </row>
    <row r="896" spans="1:34" ht="15.75">
      <c r="A896" s="29">
        <f t="shared" si="13"/>
        <v>120</v>
      </c>
      <c r="B896" s="6">
        <v>1000</v>
      </c>
      <c r="C896">
        <v>5</v>
      </c>
      <c r="D896" s="2">
        <v>1817</v>
      </c>
      <c r="E896">
        <v>656</v>
      </c>
      <c r="I896" s="2">
        <v>120</v>
      </c>
      <c r="J896" s="2">
        <v>0</v>
      </c>
      <c r="K896" s="2" t="s">
        <v>871</v>
      </c>
      <c r="L896" s="43" t="s">
        <v>4801</v>
      </c>
      <c r="P896" s="41">
        <v>11</v>
      </c>
      <c r="Q896" s="41">
        <v>7</v>
      </c>
      <c r="R896" s="41">
        <v>25</v>
      </c>
      <c r="S896" t="s">
        <v>3321</v>
      </c>
      <c r="AH896" t="s">
        <v>359</v>
      </c>
    </row>
    <row r="897" spans="1:34" ht="15.75">
      <c r="A897" s="29">
        <f t="shared" si="13"/>
        <v>91</v>
      </c>
      <c r="B897" s="6">
        <v>1000</v>
      </c>
      <c r="C897">
        <v>5</v>
      </c>
      <c r="D897" s="2">
        <v>1817</v>
      </c>
      <c r="E897">
        <v>657</v>
      </c>
      <c r="I897" s="2">
        <v>91</v>
      </c>
      <c r="J897" s="2">
        <v>0</v>
      </c>
      <c r="K897" s="2" t="s">
        <v>871</v>
      </c>
      <c r="L897" s="43" t="s">
        <v>4803</v>
      </c>
      <c r="P897" s="41">
        <v>28</v>
      </c>
      <c r="Q897" s="41">
        <v>9</v>
      </c>
      <c r="R897" s="41">
        <v>12</v>
      </c>
      <c r="S897" t="s">
        <v>3343</v>
      </c>
      <c r="AH897" t="s">
        <v>359</v>
      </c>
    </row>
    <row r="898" spans="1:34" ht="15.75">
      <c r="A898" s="29">
        <f aca="true" t="shared" si="14" ref="A898:A961">I898+J898*20*X898</f>
        <v>200</v>
      </c>
      <c r="B898" s="6">
        <v>1000</v>
      </c>
      <c r="C898">
        <v>5</v>
      </c>
      <c r="D898" s="2">
        <v>1817</v>
      </c>
      <c r="E898">
        <v>658</v>
      </c>
      <c r="I898" s="2">
        <v>200</v>
      </c>
      <c r="J898" s="2">
        <v>0</v>
      </c>
      <c r="K898" s="2" t="s">
        <v>871</v>
      </c>
      <c r="L898" s="43" t="s">
        <v>4803</v>
      </c>
      <c r="P898" s="41">
        <v>16</v>
      </c>
      <c r="Q898" s="41">
        <v>11</v>
      </c>
      <c r="R898" s="41">
        <v>50</v>
      </c>
      <c r="S898" t="s">
        <v>3321</v>
      </c>
      <c r="AH898" t="s">
        <v>359</v>
      </c>
    </row>
    <row r="899" spans="1:34" ht="15.75">
      <c r="A899" s="29">
        <f t="shared" si="14"/>
        <v>31</v>
      </c>
      <c r="B899" s="6">
        <v>1001</v>
      </c>
      <c r="C899">
        <v>5</v>
      </c>
      <c r="D899" s="2">
        <v>1817</v>
      </c>
      <c r="E899">
        <v>659</v>
      </c>
      <c r="H899" t="s">
        <v>1540</v>
      </c>
      <c r="I899" s="2">
        <v>31</v>
      </c>
      <c r="J899" s="2">
        <v>0</v>
      </c>
      <c r="K899" s="2" t="s">
        <v>871</v>
      </c>
      <c r="L899" s="43" t="s">
        <v>4821</v>
      </c>
      <c r="P899" s="41">
        <v>4</v>
      </c>
      <c r="Q899" s="41">
        <v>2</v>
      </c>
      <c r="R899" s="41">
        <v>49</v>
      </c>
      <c r="S899" t="s">
        <v>1547</v>
      </c>
      <c r="AH899" t="s">
        <v>359</v>
      </c>
    </row>
    <row r="900" spans="1:34" ht="15.75">
      <c r="A900" s="29">
        <f t="shared" si="14"/>
        <v>139</v>
      </c>
      <c r="B900" s="6">
        <v>1001</v>
      </c>
      <c r="C900">
        <v>5</v>
      </c>
      <c r="D900" s="2">
        <v>1817</v>
      </c>
      <c r="E900">
        <v>660</v>
      </c>
      <c r="H900" t="s">
        <v>1540</v>
      </c>
      <c r="I900" s="2">
        <v>139</v>
      </c>
      <c r="J900" s="2">
        <v>0</v>
      </c>
      <c r="K900" s="2" t="s">
        <v>871</v>
      </c>
      <c r="L900" s="43" t="s">
        <v>4821</v>
      </c>
      <c r="P900" s="41">
        <v>21</v>
      </c>
      <c r="Q900" s="41">
        <v>11</v>
      </c>
      <c r="R900" s="41">
        <v>26</v>
      </c>
      <c r="S900" t="s">
        <v>3321</v>
      </c>
      <c r="AH900" t="s">
        <v>359</v>
      </c>
    </row>
    <row r="901" spans="1:34" ht="15.75">
      <c r="A901" s="29">
        <f t="shared" si="14"/>
        <v>3520</v>
      </c>
      <c r="B901" s="6">
        <v>1001</v>
      </c>
      <c r="C901">
        <v>5</v>
      </c>
      <c r="D901" s="2">
        <v>1817</v>
      </c>
      <c r="E901">
        <v>661</v>
      </c>
      <c r="H901" t="s">
        <v>1541</v>
      </c>
      <c r="I901" s="2">
        <v>3520</v>
      </c>
      <c r="J901" s="2">
        <v>0</v>
      </c>
      <c r="K901" s="2" t="s">
        <v>871</v>
      </c>
      <c r="L901" s="43" t="s">
        <v>4821</v>
      </c>
      <c r="P901" s="41">
        <v>23</v>
      </c>
      <c r="Q901" s="41">
        <v>3</v>
      </c>
      <c r="R901" s="41">
        <v>84</v>
      </c>
      <c r="S901" t="s">
        <v>3343</v>
      </c>
      <c r="AH901" t="s">
        <v>359</v>
      </c>
    </row>
    <row r="902" spans="1:34" ht="15.75">
      <c r="A902" s="29">
        <f t="shared" si="14"/>
        <v>7224</v>
      </c>
      <c r="B902" s="6">
        <v>1001</v>
      </c>
      <c r="C902">
        <v>5</v>
      </c>
      <c r="D902" s="2">
        <v>1817</v>
      </c>
      <c r="E902">
        <v>662</v>
      </c>
      <c r="H902" t="s">
        <v>1540</v>
      </c>
      <c r="I902" s="2">
        <v>7224</v>
      </c>
      <c r="J902" s="2">
        <v>0</v>
      </c>
      <c r="K902" s="2" t="s">
        <v>871</v>
      </c>
      <c r="L902" s="43" t="s">
        <v>4821</v>
      </c>
      <c r="P902" s="41">
        <v>31</v>
      </c>
      <c r="Q902" s="41">
        <v>3</v>
      </c>
      <c r="R902" s="41">
        <v>50</v>
      </c>
      <c r="S902" t="s">
        <v>3321</v>
      </c>
      <c r="AH902" t="s">
        <v>359</v>
      </c>
    </row>
    <row r="903" spans="1:34" ht="15.75">
      <c r="A903" s="29">
        <f t="shared" si="14"/>
        <v>84510</v>
      </c>
      <c r="B903" s="6">
        <v>1001</v>
      </c>
      <c r="C903">
        <v>5</v>
      </c>
      <c r="D903" s="2">
        <v>1817</v>
      </c>
      <c r="E903">
        <v>663</v>
      </c>
      <c r="H903" t="s">
        <v>1541</v>
      </c>
      <c r="I903" s="2">
        <v>14510</v>
      </c>
      <c r="J903" s="2">
        <v>7000</v>
      </c>
      <c r="K903" s="2" t="s">
        <v>871</v>
      </c>
      <c r="L903" s="43" t="s">
        <v>3408</v>
      </c>
      <c r="M903" s="41" t="s">
        <v>1542</v>
      </c>
      <c r="N903" s="41" t="s">
        <v>1551</v>
      </c>
      <c r="O903" s="41" t="s">
        <v>1590</v>
      </c>
      <c r="P903" s="41">
        <v>23</v>
      </c>
      <c r="Q903" s="41">
        <v>7</v>
      </c>
      <c r="R903" s="41">
        <v>81</v>
      </c>
      <c r="S903" t="s">
        <v>3343</v>
      </c>
      <c r="T903" t="s">
        <v>1591</v>
      </c>
      <c r="V903" t="s">
        <v>876</v>
      </c>
      <c r="X903">
        <v>0.5</v>
      </c>
      <c r="Y903" t="s">
        <v>1590</v>
      </c>
      <c r="AH903" t="s">
        <v>359</v>
      </c>
    </row>
    <row r="904" spans="1:34" ht="15.75">
      <c r="A904" s="29">
        <f t="shared" si="14"/>
        <v>91762</v>
      </c>
      <c r="B904" s="6">
        <v>1001</v>
      </c>
      <c r="C904">
        <v>5</v>
      </c>
      <c r="D904" s="2">
        <v>1817</v>
      </c>
      <c r="E904">
        <v>664</v>
      </c>
      <c r="H904" t="s">
        <v>1541</v>
      </c>
      <c r="I904" s="2">
        <f>31217+8545</f>
        <v>39762</v>
      </c>
      <c r="J904" s="2">
        <f>1200+1400</f>
        <v>2600</v>
      </c>
      <c r="K904" s="2" t="s">
        <v>871</v>
      </c>
      <c r="L904" s="43" t="s">
        <v>1594</v>
      </c>
      <c r="M904" s="41" t="s">
        <v>1595</v>
      </c>
      <c r="O904" s="41" t="s">
        <v>1596</v>
      </c>
      <c r="P904" s="41">
        <v>19</v>
      </c>
      <c r="Q904" s="41">
        <v>12</v>
      </c>
      <c r="R904" s="41">
        <v>46</v>
      </c>
      <c r="S904" t="s">
        <v>1597</v>
      </c>
      <c r="T904" t="s">
        <v>1256</v>
      </c>
      <c r="V904" t="s">
        <v>4654</v>
      </c>
      <c r="X904">
        <v>1</v>
      </c>
      <c r="Y904" t="s">
        <v>1592</v>
      </c>
      <c r="AH904" t="s">
        <v>359</v>
      </c>
    </row>
    <row r="905" spans="1:34" ht="15.75">
      <c r="A905" s="29">
        <f t="shared" si="14"/>
        <v>21006</v>
      </c>
      <c r="B905" s="10">
        <v>1001</v>
      </c>
      <c r="C905">
        <v>5</v>
      </c>
      <c r="D905" s="8">
        <v>1817</v>
      </c>
      <c r="E905">
        <v>665</v>
      </c>
      <c r="F905" s="9"/>
      <c r="G905" s="9"/>
      <c r="H905" s="9" t="s">
        <v>1540</v>
      </c>
      <c r="I905" s="8">
        <v>206</v>
      </c>
      <c r="J905" s="8">
        <v>1040</v>
      </c>
      <c r="K905" s="2" t="s">
        <v>871</v>
      </c>
      <c r="L905" s="43" t="s">
        <v>3395</v>
      </c>
      <c r="M905" s="41" t="s">
        <v>3396</v>
      </c>
      <c r="N905" s="41" t="s">
        <v>1551</v>
      </c>
      <c r="O905" s="41" t="s">
        <v>1593</v>
      </c>
      <c r="P905" s="41">
        <v>4</v>
      </c>
      <c r="Q905" s="41">
        <v>1</v>
      </c>
      <c r="R905" s="41">
        <v>83</v>
      </c>
      <c r="S905" t="s">
        <v>1266</v>
      </c>
      <c r="T905" t="s">
        <v>3397</v>
      </c>
      <c r="V905" t="s">
        <v>1247</v>
      </c>
      <c r="X905">
        <v>1</v>
      </c>
      <c r="Y905" t="s">
        <v>1593</v>
      </c>
      <c r="AH905" t="s">
        <v>359</v>
      </c>
    </row>
    <row r="906" spans="1:34" ht="15.75">
      <c r="A906" s="29">
        <f t="shared" si="14"/>
        <v>5</v>
      </c>
      <c r="B906" s="6">
        <v>1001</v>
      </c>
      <c r="C906">
        <v>5</v>
      </c>
      <c r="D906" s="2">
        <v>1817</v>
      </c>
      <c r="E906">
        <v>666</v>
      </c>
      <c r="H906" t="s">
        <v>1541</v>
      </c>
      <c r="I906" s="2">
        <v>5</v>
      </c>
      <c r="J906" s="2">
        <v>0</v>
      </c>
      <c r="K906" s="2" t="s">
        <v>871</v>
      </c>
      <c r="L906" s="43" t="s">
        <v>4824</v>
      </c>
      <c r="P906" s="41">
        <v>8</v>
      </c>
      <c r="Q906" s="41">
        <v>7</v>
      </c>
      <c r="R906" s="41">
        <v>50</v>
      </c>
      <c r="S906" t="s">
        <v>3343</v>
      </c>
      <c r="AH906" t="s">
        <v>359</v>
      </c>
    </row>
    <row r="907" spans="1:34" ht="15.75">
      <c r="A907" s="29">
        <f t="shared" si="14"/>
        <v>566</v>
      </c>
      <c r="B907" s="6">
        <v>1002</v>
      </c>
      <c r="C907">
        <v>5</v>
      </c>
      <c r="D907" s="2">
        <v>1817</v>
      </c>
      <c r="E907">
        <v>668</v>
      </c>
      <c r="H907" t="s">
        <v>1540</v>
      </c>
      <c r="I907" s="2">
        <v>566</v>
      </c>
      <c r="J907" s="2">
        <v>0</v>
      </c>
      <c r="K907" s="2" t="s">
        <v>872</v>
      </c>
      <c r="L907" s="43" t="s">
        <v>4825</v>
      </c>
      <c r="P907" s="41">
        <v>9</v>
      </c>
      <c r="Q907" s="41">
        <v>12</v>
      </c>
      <c r="R907" s="41">
        <v>45</v>
      </c>
      <c r="S907" t="s">
        <v>3321</v>
      </c>
      <c r="AH907" t="s">
        <v>359</v>
      </c>
    </row>
    <row r="908" spans="1:34" ht="15.75">
      <c r="A908" s="29">
        <f t="shared" si="14"/>
        <v>2370</v>
      </c>
      <c r="B908" s="6">
        <v>1002</v>
      </c>
      <c r="C908">
        <v>5</v>
      </c>
      <c r="D908" s="2">
        <v>1817</v>
      </c>
      <c r="E908">
        <v>669</v>
      </c>
      <c r="H908" t="s">
        <v>1541</v>
      </c>
      <c r="I908" s="2">
        <v>2370</v>
      </c>
      <c r="J908" s="2">
        <v>0</v>
      </c>
      <c r="K908" s="2" t="s">
        <v>872</v>
      </c>
      <c r="L908" s="43" t="s">
        <v>4827</v>
      </c>
      <c r="P908" s="41">
        <v>29</v>
      </c>
      <c r="Q908" s="41">
        <v>1</v>
      </c>
      <c r="R908" s="41" t="s">
        <v>1547</v>
      </c>
      <c r="S908" t="s">
        <v>3329</v>
      </c>
      <c r="AH908" t="s">
        <v>359</v>
      </c>
    </row>
    <row r="909" spans="1:34" ht="15.75">
      <c r="A909" s="29">
        <f t="shared" si="14"/>
        <v>75071.62486</v>
      </c>
      <c r="B909" s="6">
        <v>1002</v>
      </c>
      <c r="C909">
        <v>5</v>
      </c>
      <c r="D909" s="2">
        <v>1817</v>
      </c>
      <c r="E909">
        <v>670</v>
      </c>
      <c r="H909" t="s">
        <v>1540</v>
      </c>
      <c r="I909" s="2">
        <v>2962</v>
      </c>
      <c r="J909" s="2">
        <f>1556+6745</f>
        <v>8301</v>
      </c>
      <c r="K909" s="2" t="s">
        <v>872</v>
      </c>
      <c r="L909" s="43" t="s">
        <v>1583</v>
      </c>
      <c r="M909" s="41" t="s">
        <v>1544</v>
      </c>
      <c r="N909" s="41" t="s">
        <v>5938</v>
      </c>
      <c r="O909" s="41" t="s">
        <v>1581</v>
      </c>
      <c r="P909" s="41">
        <v>29</v>
      </c>
      <c r="Q909" s="41">
        <v>7</v>
      </c>
      <c r="R909" s="41">
        <v>54</v>
      </c>
      <c r="S909" t="s">
        <v>1609</v>
      </c>
      <c r="T909" t="s">
        <v>1610</v>
      </c>
      <c r="V909" t="s">
        <v>1611</v>
      </c>
      <c r="X909">
        <v>0.434343</v>
      </c>
      <c r="Y909" t="s">
        <v>1612</v>
      </c>
      <c r="AA909" t="s">
        <v>1585</v>
      </c>
      <c r="AH909" t="s">
        <v>359</v>
      </c>
    </row>
    <row r="910" spans="1:34" ht="15.75">
      <c r="A910" s="29">
        <f t="shared" si="14"/>
        <v>4263</v>
      </c>
      <c r="B910" s="6">
        <v>1002</v>
      </c>
      <c r="C910">
        <v>5</v>
      </c>
      <c r="D910" s="2">
        <v>1817</v>
      </c>
      <c r="E910">
        <v>671</v>
      </c>
      <c r="H910" t="s">
        <v>1541</v>
      </c>
      <c r="I910" s="2">
        <v>2718</v>
      </c>
      <c r="J910" s="2">
        <v>412</v>
      </c>
      <c r="K910" s="2" t="s">
        <v>872</v>
      </c>
      <c r="L910" s="43" t="s">
        <v>698</v>
      </c>
      <c r="M910" s="41" t="s">
        <v>4786</v>
      </c>
      <c r="N910" s="41" t="s">
        <v>3392</v>
      </c>
      <c r="O910" s="41" t="s">
        <v>700</v>
      </c>
      <c r="P910" s="41">
        <v>10</v>
      </c>
      <c r="Q910" s="41">
        <v>7</v>
      </c>
      <c r="R910" s="41">
        <v>9</v>
      </c>
      <c r="S910" t="s">
        <v>1267</v>
      </c>
      <c r="T910" t="s">
        <v>3385</v>
      </c>
      <c r="V910" t="s">
        <v>3570</v>
      </c>
      <c r="X910">
        <f>3/16</f>
        <v>0.1875</v>
      </c>
      <c r="Y910" t="s">
        <v>1613</v>
      </c>
      <c r="AH910" t="s">
        <v>359</v>
      </c>
    </row>
    <row r="911" spans="1:34" ht="15.75">
      <c r="A911" s="29">
        <f t="shared" si="14"/>
        <v>22578</v>
      </c>
      <c r="B911" s="10">
        <v>1002</v>
      </c>
      <c r="C911">
        <v>5</v>
      </c>
      <c r="D911" s="8">
        <v>1817</v>
      </c>
      <c r="E911">
        <v>672</v>
      </c>
      <c r="F911" s="9"/>
      <c r="G911" s="9"/>
      <c r="H911" s="9" t="s">
        <v>1541</v>
      </c>
      <c r="I911" s="8">
        <v>11578</v>
      </c>
      <c r="J911" s="8">
        <v>550</v>
      </c>
      <c r="K911" s="2" t="s">
        <v>872</v>
      </c>
      <c r="L911" s="43" t="s">
        <v>698</v>
      </c>
      <c r="M911" s="41" t="s">
        <v>3391</v>
      </c>
      <c r="N911" s="41" t="s">
        <v>3392</v>
      </c>
      <c r="O911" s="41" t="s">
        <v>700</v>
      </c>
      <c r="P911" s="41">
        <v>9</v>
      </c>
      <c r="Q911" s="41">
        <v>6</v>
      </c>
      <c r="R911" s="41">
        <v>24</v>
      </c>
      <c r="S911" t="s">
        <v>3393</v>
      </c>
      <c r="T911" t="s">
        <v>1263</v>
      </c>
      <c r="V911" t="s">
        <v>879</v>
      </c>
      <c r="X911">
        <v>1</v>
      </c>
      <c r="Y911" t="s">
        <v>3394</v>
      </c>
      <c r="AH911" t="s">
        <v>359</v>
      </c>
    </row>
    <row r="912" spans="1:34" ht="15.75">
      <c r="A912" s="29">
        <f t="shared" si="14"/>
        <v>32231.25</v>
      </c>
      <c r="B912" s="6">
        <v>1002</v>
      </c>
      <c r="C912">
        <v>5</v>
      </c>
      <c r="D912" s="2">
        <v>1817</v>
      </c>
      <c r="E912">
        <v>673</v>
      </c>
      <c r="H912" t="s">
        <v>1540</v>
      </c>
      <c r="I912" s="2">
        <v>13305</v>
      </c>
      <c r="J912" s="2">
        <v>1442</v>
      </c>
      <c r="K912" s="2" t="s">
        <v>872</v>
      </c>
      <c r="L912" s="43" t="s">
        <v>698</v>
      </c>
      <c r="M912" s="41" t="s">
        <v>699</v>
      </c>
      <c r="N912" s="41" t="s">
        <v>1555</v>
      </c>
      <c r="O912" s="41" t="s">
        <v>700</v>
      </c>
      <c r="P912" s="41">
        <v>13</v>
      </c>
      <c r="Q912" s="41">
        <v>7</v>
      </c>
      <c r="R912" s="41">
        <v>70</v>
      </c>
      <c r="S912" t="s">
        <v>701</v>
      </c>
      <c r="T912" t="s">
        <v>702</v>
      </c>
      <c r="V912" t="s">
        <v>703</v>
      </c>
      <c r="X912">
        <f>21/32</f>
        <v>0.65625</v>
      </c>
      <c r="Y912" t="s">
        <v>1613</v>
      </c>
      <c r="AH912" t="s">
        <v>359</v>
      </c>
    </row>
    <row r="913" spans="1:34" ht="15.75">
      <c r="A913" s="29">
        <f t="shared" si="14"/>
        <v>573</v>
      </c>
      <c r="B913" s="6">
        <v>1002</v>
      </c>
      <c r="C913">
        <v>5</v>
      </c>
      <c r="D913" s="2">
        <v>1817</v>
      </c>
      <c r="E913">
        <v>674</v>
      </c>
      <c r="H913" t="s">
        <v>1540</v>
      </c>
      <c r="I913" s="2">
        <v>573</v>
      </c>
      <c r="J913" s="2">
        <v>0</v>
      </c>
      <c r="K913" s="2" t="s">
        <v>872</v>
      </c>
      <c r="L913" s="43" t="s">
        <v>4829</v>
      </c>
      <c r="P913" s="41">
        <v>29</v>
      </c>
      <c r="Q913" s="41">
        <v>3</v>
      </c>
      <c r="R913" s="41">
        <v>63</v>
      </c>
      <c r="S913" t="s">
        <v>3321</v>
      </c>
      <c r="AH913" t="s">
        <v>359</v>
      </c>
    </row>
    <row r="914" spans="1:34" ht="15.75">
      <c r="A914" s="29">
        <f t="shared" si="14"/>
        <v>702</v>
      </c>
      <c r="B914" s="6">
        <v>1002</v>
      </c>
      <c r="C914">
        <v>5</v>
      </c>
      <c r="D914" s="2">
        <v>1817</v>
      </c>
      <c r="E914">
        <v>675</v>
      </c>
      <c r="H914" t="s">
        <v>1540</v>
      </c>
      <c r="I914" s="2">
        <v>702</v>
      </c>
      <c r="J914" s="2">
        <v>0</v>
      </c>
      <c r="K914" s="2" t="s">
        <v>872</v>
      </c>
      <c r="L914" s="43" t="s">
        <v>4829</v>
      </c>
      <c r="P914" s="41">
        <v>27</v>
      </c>
      <c r="Q914" s="41">
        <v>4</v>
      </c>
      <c r="R914" s="41">
        <v>54</v>
      </c>
      <c r="S914" t="s">
        <v>3321</v>
      </c>
      <c r="AH914" t="s">
        <v>359</v>
      </c>
    </row>
    <row r="915" spans="1:34" ht="15.75">
      <c r="A915" s="29">
        <f t="shared" si="14"/>
        <v>638576</v>
      </c>
      <c r="B915" s="6">
        <v>1002</v>
      </c>
      <c r="C915">
        <v>5</v>
      </c>
      <c r="D915" s="2">
        <v>1817</v>
      </c>
      <c r="E915">
        <v>676</v>
      </c>
      <c r="H915" t="s">
        <v>1540</v>
      </c>
      <c r="I915" s="2">
        <v>638576</v>
      </c>
      <c r="J915" s="2">
        <v>0</v>
      </c>
      <c r="K915" s="2" t="s">
        <v>872</v>
      </c>
      <c r="L915" s="43" t="s">
        <v>1598</v>
      </c>
      <c r="M915" s="41" t="s">
        <v>1599</v>
      </c>
      <c r="N915" s="41" t="s">
        <v>1600</v>
      </c>
      <c r="O915" s="41" t="s">
        <v>1601</v>
      </c>
      <c r="P915" s="41">
        <v>18</v>
      </c>
      <c r="Q915" s="41">
        <v>7</v>
      </c>
      <c r="R915" s="41">
        <v>50</v>
      </c>
      <c r="S915" t="s">
        <v>1602</v>
      </c>
      <c r="T915" t="s">
        <v>1603</v>
      </c>
      <c r="V915" t="s">
        <v>1604</v>
      </c>
      <c r="AH915" t="s">
        <v>359</v>
      </c>
    </row>
    <row r="916" spans="1:34" ht="15.75">
      <c r="A916" s="29">
        <f t="shared" si="14"/>
        <v>21010</v>
      </c>
      <c r="B916" s="6">
        <v>1002</v>
      </c>
      <c r="C916">
        <v>5</v>
      </c>
      <c r="D916" s="2">
        <v>1817</v>
      </c>
      <c r="E916">
        <v>677</v>
      </c>
      <c r="H916" t="s">
        <v>1540</v>
      </c>
      <c r="I916" s="2">
        <f>1331+5679</f>
        <v>7010</v>
      </c>
      <c r="J916" s="2">
        <f>14000/20</f>
        <v>700</v>
      </c>
      <c r="K916" s="2" t="s">
        <v>872</v>
      </c>
      <c r="L916" s="43" t="s">
        <v>707</v>
      </c>
      <c r="M916" s="41" t="s">
        <v>1543</v>
      </c>
      <c r="N916" s="41" t="s">
        <v>704</v>
      </c>
      <c r="O916" s="41" t="s">
        <v>705</v>
      </c>
      <c r="P916" s="41">
        <v>9</v>
      </c>
      <c r="Q916" s="41">
        <v>3</v>
      </c>
      <c r="R916" s="41">
        <v>74</v>
      </c>
      <c r="S916" t="s">
        <v>706</v>
      </c>
      <c r="T916" t="s">
        <v>707</v>
      </c>
      <c r="V916" t="s">
        <v>708</v>
      </c>
      <c r="X916">
        <v>1</v>
      </c>
      <c r="Y916" t="s">
        <v>2978</v>
      </c>
      <c r="AH916" t="s">
        <v>359</v>
      </c>
    </row>
    <row r="917" spans="1:34" ht="15.75">
      <c r="A917" s="29">
        <f t="shared" si="14"/>
        <v>13121</v>
      </c>
      <c r="B917" s="6">
        <v>1002</v>
      </c>
      <c r="C917">
        <v>5</v>
      </c>
      <c r="D917" s="2">
        <v>1817</v>
      </c>
      <c r="E917">
        <v>679</v>
      </c>
      <c r="H917" t="s">
        <v>1541</v>
      </c>
      <c r="I917" s="2">
        <v>2081</v>
      </c>
      <c r="J917" s="2">
        <v>552</v>
      </c>
      <c r="K917" s="2" t="s">
        <v>872</v>
      </c>
      <c r="L917" s="43" t="s">
        <v>3386</v>
      </c>
      <c r="M917" s="41" t="s">
        <v>3387</v>
      </c>
      <c r="O917" s="41" t="s">
        <v>3388</v>
      </c>
      <c r="P917" s="41">
        <v>21</v>
      </c>
      <c r="Q917" s="41">
        <v>2</v>
      </c>
      <c r="R917" s="41">
        <v>67</v>
      </c>
      <c r="S917" t="s">
        <v>1547</v>
      </c>
      <c r="T917" t="s">
        <v>3389</v>
      </c>
      <c r="V917" t="s">
        <v>3390</v>
      </c>
      <c r="X917">
        <v>1</v>
      </c>
      <c r="Y917" t="s">
        <v>3129</v>
      </c>
      <c r="AH917" t="s">
        <v>359</v>
      </c>
    </row>
    <row r="918" spans="1:34" ht="15.75">
      <c r="A918" s="29">
        <f t="shared" si="14"/>
        <v>46229</v>
      </c>
      <c r="B918" s="6">
        <v>1002</v>
      </c>
      <c r="C918">
        <v>5</v>
      </c>
      <c r="D918" s="2">
        <v>1817</v>
      </c>
      <c r="E918">
        <v>680</v>
      </c>
      <c r="H918" t="s">
        <v>1541</v>
      </c>
      <c r="I918" s="2">
        <v>46229</v>
      </c>
      <c r="J918" s="2">
        <v>0</v>
      </c>
      <c r="K918" s="2" t="s">
        <v>872</v>
      </c>
      <c r="L918" s="43" t="s">
        <v>880</v>
      </c>
      <c r="M918" s="41" t="s">
        <v>709</v>
      </c>
      <c r="N918" s="41" t="s">
        <v>3453</v>
      </c>
      <c r="O918" s="41" t="s">
        <v>710</v>
      </c>
      <c r="P918" s="41">
        <v>16</v>
      </c>
      <c r="Q918" s="41">
        <v>1</v>
      </c>
      <c r="R918" s="41">
        <v>62</v>
      </c>
      <c r="S918" t="s">
        <v>3343</v>
      </c>
      <c r="T918" t="s">
        <v>880</v>
      </c>
      <c r="V918" t="s">
        <v>1257</v>
      </c>
      <c r="AH918" t="s">
        <v>359</v>
      </c>
    </row>
    <row r="919" spans="1:34" ht="15.75">
      <c r="A919" s="29">
        <f t="shared" si="14"/>
        <v>17852</v>
      </c>
      <c r="B919" s="10">
        <v>1003</v>
      </c>
      <c r="C919">
        <v>5</v>
      </c>
      <c r="D919" s="8">
        <v>1817</v>
      </c>
      <c r="E919">
        <v>681</v>
      </c>
      <c r="F919" s="9"/>
      <c r="G919" s="9"/>
      <c r="H919" s="9" t="s">
        <v>1540</v>
      </c>
      <c r="I919" s="8">
        <v>17852</v>
      </c>
      <c r="J919" s="8">
        <v>0</v>
      </c>
      <c r="K919" s="2" t="s">
        <v>872</v>
      </c>
      <c r="L919" s="43" t="s">
        <v>2332</v>
      </c>
      <c r="M919" s="41" t="s">
        <v>2333</v>
      </c>
      <c r="O919" s="41" t="s">
        <v>2334</v>
      </c>
      <c r="P919" s="41">
        <v>29</v>
      </c>
      <c r="Q919" s="41">
        <v>12</v>
      </c>
      <c r="R919" s="41" t="s">
        <v>1547</v>
      </c>
      <c r="S919" t="s">
        <v>3343</v>
      </c>
      <c r="T919" s="13" t="s">
        <v>2335</v>
      </c>
      <c r="V919" s="13" t="s">
        <v>2336</v>
      </c>
      <c r="W919" s="13"/>
      <c r="AH919" t="s">
        <v>359</v>
      </c>
    </row>
    <row r="920" spans="1:34" ht="15.75">
      <c r="A920" s="29">
        <f t="shared" si="14"/>
        <v>2612</v>
      </c>
      <c r="B920" s="6">
        <v>1003</v>
      </c>
      <c r="C920">
        <v>5</v>
      </c>
      <c r="D920" s="2">
        <v>1817</v>
      </c>
      <c r="E920">
        <v>682</v>
      </c>
      <c r="H920" t="s">
        <v>1541</v>
      </c>
      <c r="I920" s="2">
        <v>2612</v>
      </c>
      <c r="J920" s="2">
        <v>0</v>
      </c>
      <c r="K920" s="2" t="s">
        <v>872</v>
      </c>
      <c r="L920" s="43" t="s">
        <v>4833</v>
      </c>
      <c r="P920" s="41">
        <v>11</v>
      </c>
      <c r="Q920" s="41">
        <v>4</v>
      </c>
      <c r="R920" s="41">
        <v>50</v>
      </c>
      <c r="S920" t="s">
        <v>3321</v>
      </c>
      <c r="AH920" t="s">
        <v>359</v>
      </c>
    </row>
    <row r="921" spans="1:34" ht="15.75">
      <c r="A921" s="29">
        <f t="shared" si="14"/>
        <v>212</v>
      </c>
      <c r="B921" s="6">
        <v>1003</v>
      </c>
      <c r="C921">
        <v>5</v>
      </c>
      <c r="D921" s="2">
        <v>1817</v>
      </c>
      <c r="E921">
        <v>684</v>
      </c>
      <c r="H921" t="s">
        <v>1541</v>
      </c>
      <c r="I921" s="2">
        <v>212</v>
      </c>
      <c r="J921" s="2">
        <v>0</v>
      </c>
      <c r="K921" s="2" t="s">
        <v>872</v>
      </c>
      <c r="L921" s="43" t="s">
        <v>4837</v>
      </c>
      <c r="P921" s="41">
        <v>6</v>
      </c>
      <c r="Q921" s="41">
        <v>4</v>
      </c>
      <c r="R921" s="41">
        <v>72</v>
      </c>
      <c r="S921" t="s">
        <v>3321</v>
      </c>
      <c r="AH921" t="s">
        <v>359</v>
      </c>
    </row>
    <row r="922" spans="1:34" ht="15.75">
      <c r="A922" s="29">
        <f t="shared" si="14"/>
        <v>417</v>
      </c>
      <c r="B922" s="6">
        <v>1003</v>
      </c>
      <c r="C922">
        <v>5</v>
      </c>
      <c r="D922" s="2">
        <v>1817</v>
      </c>
      <c r="E922">
        <v>685</v>
      </c>
      <c r="H922" t="s">
        <v>1540</v>
      </c>
      <c r="I922" s="2">
        <v>417</v>
      </c>
      <c r="J922" s="2">
        <v>0</v>
      </c>
      <c r="K922" s="2" t="s">
        <v>872</v>
      </c>
      <c r="L922" s="43" t="s">
        <v>4838</v>
      </c>
      <c r="P922" s="41">
        <v>1</v>
      </c>
      <c r="Q922" s="41">
        <v>11</v>
      </c>
      <c r="R922" s="41">
        <v>69</v>
      </c>
      <c r="S922" t="s">
        <v>3321</v>
      </c>
      <c r="AH922" t="s">
        <v>359</v>
      </c>
    </row>
    <row r="923" spans="1:34" ht="15.75">
      <c r="A923" s="29">
        <f t="shared" si="14"/>
        <v>67570</v>
      </c>
      <c r="B923" s="6">
        <v>1003</v>
      </c>
      <c r="C923">
        <v>5</v>
      </c>
      <c r="D923" s="2">
        <v>1817</v>
      </c>
      <c r="E923">
        <v>686</v>
      </c>
      <c r="H923" t="s">
        <v>1541</v>
      </c>
      <c r="I923" s="2">
        <v>67570</v>
      </c>
      <c r="J923" s="2">
        <v>0</v>
      </c>
      <c r="K923" s="2" t="s">
        <v>872</v>
      </c>
      <c r="L923" s="43" t="s">
        <v>2946</v>
      </c>
      <c r="M923" s="41" t="s">
        <v>4643</v>
      </c>
      <c r="O923" s="41" t="s">
        <v>2947</v>
      </c>
      <c r="P923" s="41">
        <v>23</v>
      </c>
      <c r="Q923" s="41">
        <v>2</v>
      </c>
      <c r="R923" s="41" t="s">
        <v>1547</v>
      </c>
      <c r="S923" t="s">
        <v>1547</v>
      </c>
      <c r="T923" t="s">
        <v>2948</v>
      </c>
      <c r="V923" t="s">
        <v>2949</v>
      </c>
      <c r="AH923" t="s">
        <v>359</v>
      </c>
    </row>
    <row r="924" spans="1:34" ht="15.75">
      <c r="A924" s="29">
        <f t="shared" si="14"/>
        <v>33</v>
      </c>
      <c r="B924" s="6">
        <v>1003</v>
      </c>
      <c r="C924">
        <v>5</v>
      </c>
      <c r="D924" s="2">
        <v>1817</v>
      </c>
      <c r="E924">
        <v>687</v>
      </c>
      <c r="H924" t="s">
        <v>1540</v>
      </c>
      <c r="I924" s="2">
        <v>33</v>
      </c>
      <c r="J924" s="2">
        <v>0</v>
      </c>
      <c r="K924" s="2" t="s">
        <v>872</v>
      </c>
      <c r="L924" s="43" t="s">
        <v>4839</v>
      </c>
      <c r="P924" s="41">
        <v>25</v>
      </c>
      <c r="Q924" s="41">
        <v>3</v>
      </c>
      <c r="R924" s="41">
        <v>69</v>
      </c>
      <c r="S924" t="s">
        <v>3324</v>
      </c>
      <c r="AH924" t="s">
        <v>359</v>
      </c>
    </row>
    <row r="925" spans="1:34" ht="15.75">
      <c r="A925" s="29">
        <f t="shared" si="14"/>
        <v>11840</v>
      </c>
      <c r="B925" s="6">
        <v>1003</v>
      </c>
      <c r="C925">
        <v>5</v>
      </c>
      <c r="D925" s="2">
        <v>1817</v>
      </c>
      <c r="E925">
        <v>688</v>
      </c>
      <c r="H925" t="s">
        <v>1541</v>
      </c>
      <c r="I925" s="2">
        <v>0</v>
      </c>
      <c r="J925" s="2">
        <v>592</v>
      </c>
      <c r="K925" s="2" t="s">
        <v>872</v>
      </c>
      <c r="L925" s="43" t="s">
        <v>4225</v>
      </c>
      <c r="P925" s="41">
        <v>4</v>
      </c>
      <c r="Q925" s="41">
        <v>2</v>
      </c>
      <c r="R925" s="41" t="s">
        <v>1547</v>
      </c>
      <c r="S925" t="s">
        <v>3329</v>
      </c>
      <c r="U925" t="s">
        <v>4226</v>
      </c>
      <c r="X925">
        <v>1</v>
      </c>
      <c r="Y925" t="s">
        <v>3128</v>
      </c>
      <c r="AH925" t="s">
        <v>359</v>
      </c>
    </row>
    <row r="926" spans="1:34" ht="15.75">
      <c r="A926" s="29">
        <f t="shared" si="14"/>
        <v>2203</v>
      </c>
      <c r="B926" s="6">
        <v>1004</v>
      </c>
      <c r="C926">
        <v>5</v>
      </c>
      <c r="D926" s="2">
        <v>1817</v>
      </c>
      <c r="E926">
        <v>689</v>
      </c>
      <c r="H926" t="s">
        <v>1540</v>
      </c>
      <c r="I926" s="2">
        <v>2203</v>
      </c>
      <c r="J926" s="2">
        <v>0</v>
      </c>
      <c r="K926" s="2" t="s">
        <v>872</v>
      </c>
      <c r="L926" s="43" t="s">
        <v>4227</v>
      </c>
      <c r="P926" s="41">
        <v>20</v>
      </c>
      <c r="Q926" s="41">
        <v>6</v>
      </c>
      <c r="R926" s="41">
        <v>75</v>
      </c>
      <c r="S926" t="s">
        <v>3321</v>
      </c>
      <c r="AH926" t="s">
        <v>359</v>
      </c>
    </row>
    <row r="927" spans="1:34" ht="15.75">
      <c r="A927" s="29">
        <f t="shared" si="14"/>
        <v>619</v>
      </c>
      <c r="B927" s="6">
        <v>1004</v>
      </c>
      <c r="C927">
        <v>5</v>
      </c>
      <c r="D927" s="2">
        <v>1817</v>
      </c>
      <c r="E927">
        <v>690</v>
      </c>
      <c r="H927" t="s">
        <v>1540</v>
      </c>
      <c r="I927" s="2">
        <v>619</v>
      </c>
      <c r="J927" s="2">
        <v>0</v>
      </c>
      <c r="K927" s="2" t="s">
        <v>872</v>
      </c>
      <c r="L927" s="43" t="s">
        <v>4228</v>
      </c>
      <c r="P927" s="41">
        <v>11</v>
      </c>
      <c r="Q927" s="41">
        <v>5</v>
      </c>
      <c r="R927" s="41">
        <v>87</v>
      </c>
      <c r="S927" t="s">
        <v>3343</v>
      </c>
      <c r="AH927" t="s">
        <v>359</v>
      </c>
    </row>
    <row r="928" spans="1:34" ht="15.75">
      <c r="A928" s="29">
        <f t="shared" si="14"/>
        <v>14760</v>
      </c>
      <c r="B928" s="6">
        <v>1004</v>
      </c>
      <c r="C928">
        <v>5</v>
      </c>
      <c r="D928" s="2">
        <v>1817</v>
      </c>
      <c r="E928">
        <v>691</v>
      </c>
      <c r="H928" t="s">
        <v>1540</v>
      </c>
      <c r="I928" s="2">
        <f>756+104</f>
        <v>860</v>
      </c>
      <c r="J928" s="2">
        <v>1390</v>
      </c>
      <c r="K928" s="2" t="s">
        <v>872</v>
      </c>
      <c r="L928" s="43" t="s">
        <v>2950</v>
      </c>
      <c r="M928" s="41" t="s">
        <v>3155</v>
      </c>
      <c r="N928" s="41" t="s">
        <v>2951</v>
      </c>
      <c r="O928" s="41" t="s">
        <v>2952</v>
      </c>
      <c r="P928" s="41">
        <v>28</v>
      </c>
      <c r="Q928" s="41">
        <v>10</v>
      </c>
      <c r="R928" s="41">
        <v>70</v>
      </c>
      <c r="S928" t="s">
        <v>2953</v>
      </c>
      <c r="T928" t="s">
        <v>2954</v>
      </c>
      <c r="V928" t="s">
        <v>3446</v>
      </c>
      <c r="X928">
        <v>0.5</v>
      </c>
      <c r="Y928" t="s">
        <v>2955</v>
      </c>
      <c r="AH928" t="s">
        <v>359</v>
      </c>
    </row>
    <row r="929" spans="1:34" ht="15.75">
      <c r="A929" s="29">
        <f t="shared" si="14"/>
        <v>4548</v>
      </c>
      <c r="B929" s="6">
        <v>1004</v>
      </c>
      <c r="C929">
        <v>5</v>
      </c>
      <c r="D929" s="2">
        <v>1817</v>
      </c>
      <c r="E929">
        <v>692</v>
      </c>
      <c r="H929" t="s">
        <v>1540</v>
      </c>
      <c r="I929" s="2">
        <v>4548</v>
      </c>
      <c r="J929" s="2">
        <v>0</v>
      </c>
      <c r="K929" s="2" t="s">
        <v>872</v>
      </c>
      <c r="L929" s="43" t="s">
        <v>4230</v>
      </c>
      <c r="P929" s="41">
        <v>24</v>
      </c>
      <c r="Q929" s="41">
        <v>6</v>
      </c>
      <c r="R929" s="41">
        <v>33</v>
      </c>
      <c r="S929" t="s">
        <v>3321</v>
      </c>
      <c r="AH929" t="s">
        <v>359</v>
      </c>
    </row>
    <row r="930" spans="1:34" ht="15.75">
      <c r="A930" s="29">
        <f t="shared" si="14"/>
        <v>8033</v>
      </c>
      <c r="B930" s="6">
        <v>1005</v>
      </c>
      <c r="C930">
        <v>5</v>
      </c>
      <c r="D930" s="2">
        <v>1817</v>
      </c>
      <c r="E930">
        <v>694</v>
      </c>
      <c r="H930" t="s">
        <v>1540</v>
      </c>
      <c r="I930" s="2">
        <v>33</v>
      </c>
      <c r="J930" s="2">
        <v>400</v>
      </c>
      <c r="K930" s="2" t="s">
        <v>872</v>
      </c>
      <c r="L930" s="43" t="s">
        <v>4237</v>
      </c>
      <c r="P930" s="41">
        <v>9</v>
      </c>
      <c r="Q930" s="41">
        <v>11</v>
      </c>
      <c r="R930" s="41">
        <v>57</v>
      </c>
      <c r="S930" t="s">
        <v>3321</v>
      </c>
      <c r="X930">
        <v>1</v>
      </c>
      <c r="Y930" t="s">
        <v>2956</v>
      </c>
      <c r="AH930" t="s">
        <v>359</v>
      </c>
    </row>
    <row r="931" spans="1:34" ht="15.75">
      <c r="A931" s="29">
        <f t="shared" si="14"/>
        <v>55194</v>
      </c>
      <c r="B931" s="6">
        <v>1006</v>
      </c>
      <c r="C931">
        <v>5</v>
      </c>
      <c r="D931" s="2">
        <v>1817</v>
      </c>
      <c r="E931">
        <v>695</v>
      </c>
      <c r="H931" t="s">
        <v>1540</v>
      </c>
      <c r="I931" s="2">
        <v>2194</v>
      </c>
      <c r="J931" s="2">
        <f>2100+550</f>
        <v>2650</v>
      </c>
      <c r="K931" s="2" t="s">
        <v>873</v>
      </c>
      <c r="L931" s="43" t="s">
        <v>4231</v>
      </c>
      <c r="M931" s="41" t="s">
        <v>1546</v>
      </c>
      <c r="N931" s="41" t="s">
        <v>1555</v>
      </c>
      <c r="O931" s="41" t="s">
        <v>3472</v>
      </c>
      <c r="P931" s="41">
        <v>17</v>
      </c>
      <c r="Q931" s="41">
        <v>4</v>
      </c>
      <c r="R931" s="41">
        <v>61</v>
      </c>
      <c r="S931" t="s">
        <v>3473</v>
      </c>
      <c r="T931" t="s">
        <v>3474</v>
      </c>
      <c r="V931" t="s">
        <v>3475</v>
      </c>
      <c r="X931">
        <v>1</v>
      </c>
      <c r="Y931" t="s">
        <v>3476</v>
      </c>
      <c r="AA931" t="s">
        <v>2973</v>
      </c>
      <c r="AH931" t="s">
        <v>359</v>
      </c>
    </row>
    <row r="932" spans="1:34" ht="15.75">
      <c r="A932" s="29">
        <f t="shared" si="14"/>
        <v>49960</v>
      </c>
      <c r="B932" s="6">
        <v>1007</v>
      </c>
      <c r="C932">
        <v>5</v>
      </c>
      <c r="D932" s="2">
        <v>1817</v>
      </c>
      <c r="E932">
        <v>696</v>
      </c>
      <c r="H932" t="s">
        <v>1540</v>
      </c>
      <c r="I932">
        <f>2428+5846+937+4147+4600+5250+407+26345</f>
        <v>49960</v>
      </c>
      <c r="J932" s="2">
        <v>0</v>
      </c>
      <c r="K932" s="2" t="s">
        <v>873</v>
      </c>
      <c r="L932" s="43" t="s">
        <v>3478</v>
      </c>
      <c r="M932" s="41" t="s">
        <v>854</v>
      </c>
      <c r="N932" s="41" t="s">
        <v>3479</v>
      </c>
      <c r="O932" s="41" t="s">
        <v>5944</v>
      </c>
      <c r="P932" s="41">
        <v>5</v>
      </c>
      <c r="Q932" s="41">
        <v>10</v>
      </c>
      <c r="R932" s="41">
        <v>87</v>
      </c>
      <c r="S932" t="s">
        <v>3343</v>
      </c>
      <c r="T932" t="s">
        <v>3480</v>
      </c>
      <c r="V932" t="s">
        <v>1268</v>
      </c>
      <c r="AH932" t="s">
        <v>359</v>
      </c>
    </row>
    <row r="933" spans="1:34" ht="15.75">
      <c r="A933" s="29">
        <f t="shared" si="14"/>
        <v>7561</v>
      </c>
      <c r="B933" s="6">
        <v>1010</v>
      </c>
      <c r="C933">
        <v>5</v>
      </c>
      <c r="D933" s="2">
        <v>1817</v>
      </c>
      <c r="E933">
        <v>698</v>
      </c>
      <c r="H933" t="s">
        <v>1541</v>
      </c>
      <c r="I933" s="2">
        <f>4561+3000</f>
        <v>7561</v>
      </c>
      <c r="J933" s="2">
        <v>0</v>
      </c>
      <c r="K933" s="2" t="s">
        <v>4238</v>
      </c>
      <c r="L933" s="43" t="s">
        <v>4239</v>
      </c>
      <c r="P933" s="41">
        <v>25</v>
      </c>
      <c r="Q933" s="41">
        <v>9</v>
      </c>
      <c r="R933" s="41">
        <v>38</v>
      </c>
      <c r="S933" t="s">
        <v>3321</v>
      </c>
      <c r="AH933" t="s">
        <v>359</v>
      </c>
    </row>
    <row r="934" spans="1:34" ht="15.75">
      <c r="A934" s="29">
        <f t="shared" si="14"/>
        <v>40165</v>
      </c>
      <c r="B934" s="6">
        <v>1010</v>
      </c>
      <c r="C934">
        <v>5</v>
      </c>
      <c r="D934" s="2">
        <v>1817</v>
      </c>
      <c r="E934">
        <v>699</v>
      </c>
      <c r="H934" t="s">
        <v>1541</v>
      </c>
      <c r="I934" s="2">
        <v>40165</v>
      </c>
      <c r="J934" s="2">
        <v>0</v>
      </c>
      <c r="K934" s="2" t="s">
        <v>874</v>
      </c>
      <c r="L934" s="43" t="s">
        <v>3481</v>
      </c>
      <c r="M934" s="41" t="s">
        <v>3482</v>
      </c>
      <c r="N934" s="41" t="s">
        <v>3453</v>
      </c>
      <c r="O934" s="41" t="s">
        <v>3483</v>
      </c>
      <c r="P934" s="41">
        <v>13</v>
      </c>
      <c r="Q934" s="41">
        <v>7</v>
      </c>
      <c r="R934" s="41">
        <v>74</v>
      </c>
      <c r="S934" t="s">
        <v>3484</v>
      </c>
      <c r="T934" t="s">
        <v>3485</v>
      </c>
      <c r="V934" t="s">
        <v>2975</v>
      </c>
      <c r="AH934" t="s">
        <v>359</v>
      </c>
    </row>
    <row r="935" spans="1:34" ht="15.75">
      <c r="A935" s="29">
        <f t="shared" si="14"/>
        <v>672</v>
      </c>
      <c r="B935" s="6">
        <v>1010</v>
      </c>
      <c r="C935">
        <v>5</v>
      </c>
      <c r="D935" s="2">
        <v>1817</v>
      </c>
      <c r="E935">
        <v>700</v>
      </c>
      <c r="H935" t="s">
        <v>1541</v>
      </c>
      <c r="I935" s="2">
        <v>672</v>
      </c>
      <c r="J935" s="2">
        <v>0</v>
      </c>
      <c r="K935" s="2" t="s">
        <v>874</v>
      </c>
      <c r="L935" s="43" t="s">
        <v>4241</v>
      </c>
      <c r="P935" s="41">
        <v>10</v>
      </c>
      <c r="Q935" s="41">
        <v>9</v>
      </c>
      <c r="R935" s="41">
        <v>75</v>
      </c>
      <c r="S935" t="s">
        <v>3329</v>
      </c>
      <c r="AH935" t="s">
        <v>359</v>
      </c>
    </row>
    <row r="936" spans="1:34" ht="15.75">
      <c r="A936" s="29">
        <f t="shared" si="14"/>
        <v>401</v>
      </c>
      <c r="B936" s="6">
        <v>1010</v>
      </c>
      <c r="C936">
        <v>5</v>
      </c>
      <c r="D936" s="2">
        <v>1817</v>
      </c>
      <c r="E936">
        <v>701</v>
      </c>
      <c r="H936" t="s">
        <v>1541</v>
      </c>
      <c r="I936" s="2">
        <v>401</v>
      </c>
      <c r="J936" s="2">
        <v>0</v>
      </c>
      <c r="K936" s="2" t="s">
        <v>874</v>
      </c>
      <c r="L936" s="43" t="s">
        <v>4242</v>
      </c>
      <c r="P936" s="41">
        <v>28</v>
      </c>
      <c r="Q936" s="41">
        <v>12</v>
      </c>
      <c r="R936" s="41" t="s">
        <v>1547</v>
      </c>
      <c r="S936" t="s">
        <v>3321</v>
      </c>
      <c r="AH936" t="s">
        <v>359</v>
      </c>
    </row>
    <row r="937" spans="1:34" ht="15.75">
      <c r="A937" s="29">
        <f t="shared" si="14"/>
        <v>10122</v>
      </c>
      <c r="B937" s="6">
        <v>1010</v>
      </c>
      <c r="C937">
        <v>5</v>
      </c>
      <c r="D937" s="2">
        <v>1817</v>
      </c>
      <c r="E937">
        <v>702</v>
      </c>
      <c r="H937" t="s">
        <v>1541</v>
      </c>
      <c r="I937" s="2">
        <v>10122</v>
      </c>
      <c r="J937" s="2">
        <v>0</v>
      </c>
      <c r="K937" s="2" t="s">
        <v>874</v>
      </c>
      <c r="L937" s="43" t="s">
        <v>4242</v>
      </c>
      <c r="P937" s="41">
        <v>22</v>
      </c>
      <c r="Q937" s="41">
        <v>10</v>
      </c>
      <c r="R937" s="41">
        <v>19</v>
      </c>
      <c r="S937" t="s">
        <v>3321</v>
      </c>
      <c r="AH937" t="s">
        <v>359</v>
      </c>
    </row>
    <row r="938" spans="1:34" ht="15.75">
      <c r="A938" s="29">
        <f t="shared" si="14"/>
        <v>1879</v>
      </c>
      <c r="B938" s="6">
        <v>1011</v>
      </c>
      <c r="C938">
        <v>5</v>
      </c>
      <c r="D938" s="2">
        <v>1817</v>
      </c>
      <c r="E938">
        <v>703</v>
      </c>
      <c r="H938" t="s">
        <v>1541</v>
      </c>
      <c r="I938" s="2">
        <v>1879</v>
      </c>
      <c r="J938" s="2">
        <v>0</v>
      </c>
      <c r="K938" s="2" t="s">
        <v>874</v>
      </c>
      <c r="L938" s="43" t="s">
        <v>4246</v>
      </c>
      <c r="P938" s="41">
        <v>7</v>
      </c>
      <c r="Q938" s="41">
        <v>4</v>
      </c>
      <c r="R938" s="41">
        <v>73</v>
      </c>
      <c r="S938" t="s">
        <v>3321</v>
      </c>
      <c r="AH938" t="s">
        <v>359</v>
      </c>
    </row>
    <row r="939" spans="1:34" ht="15.75">
      <c r="A939" s="29">
        <f t="shared" si="14"/>
        <v>3552</v>
      </c>
      <c r="B939" s="6">
        <v>1011</v>
      </c>
      <c r="C939">
        <v>5</v>
      </c>
      <c r="D939" s="2">
        <v>1817</v>
      </c>
      <c r="E939">
        <v>704</v>
      </c>
      <c r="H939" t="s">
        <v>1540</v>
      </c>
      <c r="I939" s="2">
        <v>3552</v>
      </c>
      <c r="J939" s="2">
        <v>0</v>
      </c>
      <c r="K939" s="2" t="s">
        <v>874</v>
      </c>
      <c r="L939" s="43" t="s">
        <v>4246</v>
      </c>
      <c r="P939" s="41">
        <v>6</v>
      </c>
      <c r="Q939" s="41">
        <v>8</v>
      </c>
      <c r="R939" s="41">
        <v>49</v>
      </c>
      <c r="S939" t="s">
        <v>1547</v>
      </c>
      <c r="AH939" t="s">
        <v>359</v>
      </c>
    </row>
    <row r="940" spans="1:34" ht="15.75">
      <c r="A940" s="29">
        <f t="shared" si="14"/>
        <v>146</v>
      </c>
      <c r="B940" s="6">
        <v>1011</v>
      </c>
      <c r="C940">
        <v>5</v>
      </c>
      <c r="D940" s="2">
        <v>1817</v>
      </c>
      <c r="E940">
        <v>705</v>
      </c>
      <c r="H940" t="s">
        <v>1541</v>
      </c>
      <c r="I940" s="2">
        <v>146</v>
      </c>
      <c r="J940" s="2">
        <v>0</v>
      </c>
      <c r="K940" s="2" t="s">
        <v>874</v>
      </c>
      <c r="L940" s="43" t="s">
        <v>4248</v>
      </c>
      <c r="P940" s="41">
        <v>6</v>
      </c>
      <c r="Q940" s="41">
        <v>10</v>
      </c>
      <c r="R940" s="41">
        <v>80</v>
      </c>
      <c r="S940" t="s">
        <v>3329</v>
      </c>
      <c r="AH940" t="s">
        <v>359</v>
      </c>
    </row>
    <row r="941" spans="1:34" ht="15.75">
      <c r="A941" s="29">
        <f t="shared" si="14"/>
        <v>472</v>
      </c>
      <c r="B941" s="10">
        <v>1011</v>
      </c>
      <c r="C941">
        <v>5</v>
      </c>
      <c r="D941" s="8">
        <v>1817</v>
      </c>
      <c r="E941">
        <v>706</v>
      </c>
      <c r="F941" s="9"/>
      <c r="G941" s="9"/>
      <c r="H941" s="9" t="s">
        <v>1541</v>
      </c>
      <c r="I941" s="8">
        <v>472</v>
      </c>
      <c r="J941" s="8">
        <v>0</v>
      </c>
      <c r="K941" s="2" t="s">
        <v>874</v>
      </c>
      <c r="L941" s="43" t="s">
        <v>4249</v>
      </c>
      <c r="P941" s="41">
        <v>29</v>
      </c>
      <c r="Q941" s="41">
        <v>3</v>
      </c>
      <c r="R941" s="41">
        <v>74</v>
      </c>
      <c r="S941" t="s">
        <v>3329</v>
      </c>
      <c r="AH941" t="s">
        <v>359</v>
      </c>
    </row>
    <row r="942" spans="1:34" ht="15.75">
      <c r="A942" s="29">
        <f t="shared" si="14"/>
        <v>2750</v>
      </c>
      <c r="B942" s="10">
        <v>1011</v>
      </c>
      <c r="C942">
        <v>5</v>
      </c>
      <c r="D942" s="8">
        <v>1817</v>
      </c>
      <c r="E942">
        <v>707</v>
      </c>
      <c r="F942" s="9"/>
      <c r="G942" s="9"/>
      <c r="H942" s="9" t="s">
        <v>1540</v>
      </c>
      <c r="I942" s="8">
        <v>0</v>
      </c>
      <c r="J942" s="8">
        <v>275</v>
      </c>
      <c r="K942" s="2" t="s">
        <v>874</v>
      </c>
      <c r="L942" s="43" t="s">
        <v>1288</v>
      </c>
      <c r="M942" s="41" t="s">
        <v>1289</v>
      </c>
      <c r="O942" s="41" t="s">
        <v>1290</v>
      </c>
      <c r="P942" s="41">
        <v>12</v>
      </c>
      <c r="Q942" s="41">
        <v>5</v>
      </c>
      <c r="R942" s="41" t="s">
        <v>1547</v>
      </c>
      <c r="S942" t="s">
        <v>3343</v>
      </c>
      <c r="T942" t="s">
        <v>1291</v>
      </c>
      <c r="V942" t="s">
        <v>852</v>
      </c>
      <c r="X942">
        <v>0.5</v>
      </c>
      <c r="Y942" t="s">
        <v>1292</v>
      </c>
      <c r="AH942" t="s">
        <v>359</v>
      </c>
    </row>
    <row r="943" spans="1:34" ht="15.75">
      <c r="A943" s="29">
        <f t="shared" si="14"/>
        <v>50579</v>
      </c>
      <c r="B943" s="10">
        <v>1011</v>
      </c>
      <c r="C943">
        <v>5</v>
      </c>
      <c r="D943" s="8">
        <v>1817</v>
      </c>
      <c r="E943">
        <v>708</v>
      </c>
      <c r="F943" s="9"/>
      <c r="G943" s="9"/>
      <c r="H943" s="9" t="s">
        <v>1540</v>
      </c>
      <c r="I943" s="8">
        <f>40579+10000</f>
        <v>50579</v>
      </c>
      <c r="J943" s="8">
        <v>0</v>
      </c>
      <c r="K943" s="2" t="s">
        <v>874</v>
      </c>
      <c r="L943" s="43" t="s">
        <v>3486</v>
      </c>
      <c r="M943" s="41" t="s">
        <v>3487</v>
      </c>
      <c r="N943" s="41" t="s">
        <v>3488</v>
      </c>
      <c r="O943" s="41" t="s">
        <v>3489</v>
      </c>
      <c r="P943" s="41">
        <v>11</v>
      </c>
      <c r="Q943" s="41">
        <v>3</v>
      </c>
      <c r="R943" s="41">
        <v>59</v>
      </c>
      <c r="S943" t="s">
        <v>3343</v>
      </c>
      <c r="T943" t="s">
        <v>3490</v>
      </c>
      <c r="V943" t="s">
        <v>3491</v>
      </c>
      <c r="AH943" t="s">
        <v>359</v>
      </c>
    </row>
    <row r="944" spans="1:34" ht="15.75">
      <c r="A944" s="29">
        <f t="shared" si="14"/>
        <v>517</v>
      </c>
      <c r="B944" s="10">
        <v>1011</v>
      </c>
      <c r="C944">
        <v>5</v>
      </c>
      <c r="D944" s="8">
        <v>1817</v>
      </c>
      <c r="E944">
        <v>709</v>
      </c>
      <c r="F944" s="9"/>
      <c r="G944" s="9"/>
      <c r="H944" s="9" t="s">
        <v>1541</v>
      </c>
      <c r="I944" s="8">
        <v>517</v>
      </c>
      <c r="J944" s="8">
        <v>0</v>
      </c>
      <c r="K944" s="2" t="s">
        <v>874</v>
      </c>
      <c r="L944" s="43" t="s">
        <v>4251</v>
      </c>
      <c r="P944" s="41">
        <v>18</v>
      </c>
      <c r="Q944" s="41">
        <v>8</v>
      </c>
      <c r="R944" s="41">
        <v>61</v>
      </c>
      <c r="S944" t="s">
        <v>3329</v>
      </c>
      <c r="AH944" t="s">
        <v>359</v>
      </c>
    </row>
    <row r="945" spans="1:34" ht="15.75">
      <c r="A945" s="29">
        <f t="shared" si="14"/>
        <v>63</v>
      </c>
      <c r="B945" s="6">
        <v>1011</v>
      </c>
      <c r="C945">
        <v>5</v>
      </c>
      <c r="D945" s="2">
        <v>1817</v>
      </c>
      <c r="E945">
        <v>710</v>
      </c>
      <c r="H945" t="s">
        <v>1540</v>
      </c>
      <c r="I945" s="2">
        <v>63</v>
      </c>
      <c r="J945" s="2">
        <v>0</v>
      </c>
      <c r="K945" s="2" t="s">
        <v>874</v>
      </c>
      <c r="L945" s="43" t="s">
        <v>4252</v>
      </c>
      <c r="P945" s="41">
        <v>20</v>
      </c>
      <c r="Q945" s="41">
        <v>4</v>
      </c>
      <c r="R945" s="41">
        <v>63</v>
      </c>
      <c r="S945" t="s">
        <v>1547</v>
      </c>
      <c r="AH945" t="s">
        <v>359</v>
      </c>
    </row>
    <row r="946" spans="1:34" ht="15.75">
      <c r="A946" s="29">
        <f t="shared" si="14"/>
        <v>16876</v>
      </c>
      <c r="B946" s="10">
        <v>1011</v>
      </c>
      <c r="C946">
        <v>5</v>
      </c>
      <c r="D946" s="8">
        <v>1817</v>
      </c>
      <c r="E946">
        <v>711</v>
      </c>
      <c r="F946" s="9"/>
      <c r="G946" s="9"/>
      <c r="H946" s="9" t="s">
        <v>1540</v>
      </c>
      <c r="I946" s="8">
        <v>16876</v>
      </c>
      <c r="J946" s="8">
        <v>0</v>
      </c>
      <c r="K946" s="2" t="s">
        <v>874</v>
      </c>
      <c r="L946" s="43" t="s">
        <v>1293</v>
      </c>
      <c r="M946" s="41" t="s">
        <v>5316</v>
      </c>
      <c r="N946" s="41" t="s">
        <v>5938</v>
      </c>
      <c r="O946" s="41" t="s">
        <v>1294</v>
      </c>
      <c r="P946" s="41">
        <v>15</v>
      </c>
      <c r="Q946" s="41">
        <v>4</v>
      </c>
      <c r="R946" s="41">
        <v>77</v>
      </c>
      <c r="S946" t="s">
        <v>1547</v>
      </c>
      <c r="T946" t="s">
        <v>3154</v>
      </c>
      <c r="V946" t="s">
        <v>1295</v>
      </c>
      <c r="AH946" t="s">
        <v>359</v>
      </c>
    </row>
    <row r="947" spans="1:34" ht="15.75">
      <c r="A947" s="29">
        <f t="shared" si="14"/>
        <v>1200</v>
      </c>
      <c r="B947" s="6">
        <v>1012</v>
      </c>
      <c r="C947">
        <v>5</v>
      </c>
      <c r="D947" s="2">
        <v>1817</v>
      </c>
      <c r="E947">
        <v>713</v>
      </c>
      <c r="I947" s="2">
        <v>0</v>
      </c>
      <c r="J947" s="2">
        <v>60</v>
      </c>
      <c r="K947" s="2" t="s">
        <v>874</v>
      </c>
      <c r="L947" s="43" t="s">
        <v>5793</v>
      </c>
      <c r="P947" s="41">
        <v>17</v>
      </c>
      <c r="Q947" s="41">
        <v>9</v>
      </c>
      <c r="R947" s="41">
        <v>85</v>
      </c>
      <c r="S947" t="s">
        <v>3343</v>
      </c>
      <c r="X947" s="47">
        <v>1</v>
      </c>
      <c r="AH947" t="s">
        <v>359</v>
      </c>
    </row>
    <row r="948" spans="1:34" ht="15.75">
      <c r="A948" s="29">
        <f t="shared" si="14"/>
        <v>101</v>
      </c>
      <c r="B948" s="6">
        <v>1012</v>
      </c>
      <c r="C948">
        <v>5</v>
      </c>
      <c r="D948" s="2">
        <v>1817</v>
      </c>
      <c r="E948">
        <v>714</v>
      </c>
      <c r="H948" t="s">
        <v>1540</v>
      </c>
      <c r="I948" s="2">
        <v>101</v>
      </c>
      <c r="J948" s="2">
        <v>0</v>
      </c>
      <c r="K948" s="2" t="s">
        <v>874</v>
      </c>
      <c r="L948" s="43" t="s">
        <v>5794</v>
      </c>
      <c r="P948" s="41">
        <v>30</v>
      </c>
      <c r="Q948" s="41">
        <v>12</v>
      </c>
      <c r="R948" s="41">
        <v>39</v>
      </c>
      <c r="S948" t="s">
        <v>3321</v>
      </c>
      <c r="AH948" t="s">
        <v>359</v>
      </c>
    </row>
    <row r="949" spans="1:34" ht="15.75">
      <c r="A949" s="29">
        <f t="shared" si="14"/>
        <v>198</v>
      </c>
      <c r="B949" s="6">
        <v>1012</v>
      </c>
      <c r="C949">
        <v>5</v>
      </c>
      <c r="D949" s="2">
        <v>1817</v>
      </c>
      <c r="E949">
        <v>715</v>
      </c>
      <c r="H949" t="s">
        <v>1541</v>
      </c>
      <c r="I949" s="2">
        <v>198</v>
      </c>
      <c r="J949" s="2">
        <v>0</v>
      </c>
      <c r="K949" s="2" t="s">
        <v>874</v>
      </c>
      <c r="L949" s="43" t="s">
        <v>5795</v>
      </c>
      <c r="P949" s="41">
        <v>30</v>
      </c>
      <c r="Q949" s="41">
        <v>3</v>
      </c>
      <c r="R949" s="41">
        <v>67</v>
      </c>
      <c r="S949" t="s">
        <v>3329</v>
      </c>
      <c r="AH949" t="s">
        <v>359</v>
      </c>
    </row>
    <row r="950" spans="1:34" ht="15.75">
      <c r="A950" s="29">
        <f t="shared" si="14"/>
        <v>60000</v>
      </c>
      <c r="B950" s="6">
        <v>1012</v>
      </c>
      <c r="C950">
        <v>5</v>
      </c>
      <c r="D950" s="2">
        <v>1817</v>
      </c>
      <c r="E950">
        <v>716</v>
      </c>
      <c r="H950" t="s">
        <v>1541</v>
      </c>
      <c r="I950" s="2">
        <v>0</v>
      </c>
      <c r="J950" s="2">
        <v>3000</v>
      </c>
      <c r="K950" s="2" t="s">
        <v>874</v>
      </c>
      <c r="L950" s="43" t="s">
        <v>4632</v>
      </c>
      <c r="M950" s="41" t="s">
        <v>1542</v>
      </c>
      <c r="N950" s="41" t="s">
        <v>4633</v>
      </c>
      <c r="O950" s="41" t="s">
        <v>4634</v>
      </c>
      <c r="P950" s="41">
        <v>3</v>
      </c>
      <c r="Q950" s="41">
        <v>7</v>
      </c>
      <c r="R950" s="41">
        <v>29</v>
      </c>
      <c r="S950" t="s">
        <v>4635</v>
      </c>
      <c r="T950" t="s">
        <v>4784</v>
      </c>
      <c r="V950" t="s">
        <v>1552</v>
      </c>
      <c r="X950">
        <v>1</v>
      </c>
      <c r="AH950" t="s">
        <v>359</v>
      </c>
    </row>
    <row r="951" spans="1:34" ht="15.75">
      <c r="A951" s="29">
        <f t="shared" si="14"/>
        <v>190</v>
      </c>
      <c r="B951" s="6">
        <v>1012</v>
      </c>
      <c r="C951">
        <v>5</v>
      </c>
      <c r="D951" s="2">
        <v>1817</v>
      </c>
      <c r="E951">
        <v>717</v>
      </c>
      <c r="H951" t="s">
        <v>1540</v>
      </c>
      <c r="I951" s="2">
        <v>190</v>
      </c>
      <c r="J951" s="2">
        <v>0</v>
      </c>
      <c r="K951" s="2" t="s">
        <v>874</v>
      </c>
      <c r="L951" s="43" t="s">
        <v>5799</v>
      </c>
      <c r="P951" s="41">
        <v>28</v>
      </c>
      <c r="Q951" s="41">
        <v>3</v>
      </c>
      <c r="R951" s="41">
        <v>28</v>
      </c>
      <c r="S951" t="s">
        <v>3343</v>
      </c>
      <c r="AH951" t="s">
        <v>359</v>
      </c>
    </row>
    <row r="952" spans="1:34" ht="15.75">
      <c r="A952" s="29">
        <f t="shared" si="14"/>
        <v>30974</v>
      </c>
      <c r="B952" s="6">
        <v>1012</v>
      </c>
      <c r="C952">
        <v>5</v>
      </c>
      <c r="D952" s="2">
        <v>1817</v>
      </c>
      <c r="E952">
        <v>718</v>
      </c>
      <c r="H952" t="s">
        <v>1540</v>
      </c>
      <c r="I952" s="2">
        <v>5974</v>
      </c>
      <c r="J952" s="2">
        <v>1250</v>
      </c>
      <c r="K952" s="2" t="s">
        <v>874</v>
      </c>
      <c r="L952" s="43" t="s">
        <v>4636</v>
      </c>
      <c r="M952" s="41" t="s">
        <v>4637</v>
      </c>
      <c r="N952" s="41" t="s">
        <v>4638</v>
      </c>
      <c r="O952" s="41" t="s">
        <v>4639</v>
      </c>
      <c r="P952" s="41">
        <v>8</v>
      </c>
      <c r="Q952" s="41">
        <v>11</v>
      </c>
      <c r="R952" s="41">
        <v>77</v>
      </c>
      <c r="S952" t="s">
        <v>3343</v>
      </c>
      <c r="T952" t="s">
        <v>4640</v>
      </c>
      <c r="V952" t="s">
        <v>1244</v>
      </c>
      <c r="X952">
        <v>1</v>
      </c>
      <c r="AH952" t="s">
        <v>359</v>
      </c>
    </row>
    <row r="953" spans="1:34" ht="15.75">
      <c r="A953" s="29">
        <f t="shared" si="14"/>
        <v>400</v>
      </c>
      <c r="B953" s="6">
        <v>1013</v>
      </c>
      <c r="C953">
        <v>5</v>
      </c>
      <c r="D953" s="2">
        <v>1817</v>
      </c>
      <c r="E953">
        <v>719</v>
      </c>
      <c r="H953" t="s">
        <v>1540</v>
      </c>
      <c r="I953" s="2">
        <v>400</v>
      </c>
      <c r="J953" s="2">
        <v>0</v>
      </c>
      <c r="K953" s="2" t="s">
        <v>874</v>
      </c>
      <c r="L953" s="43" t="s">
        <v>5802</v>
      </c>
      <c r="P953" s="41">
        <v>21</v>
      </c>
      <c r="Q953" s="41">
        <v>10</v>
      </c>
      <c r="R953" s="41">
        <v>30</v>
      </c>
      <c r="S953" t="s">
        <v>3321</v>
      </c>
      <c r="AH953" t="s">
        <v>359</v>
      </c>
    </row>
    <row r="954" spans="1:34" ht="15.75">
      <c r="A954" s="29">
        <f t="shared" si="14"/>
        <v>2119</v>
      </c>
      <c r="B954" s="6">
        <v>1013</v>
      </c>
      <c r="C954">
        <v>5</v>
      </c>
      <c r="D954" s="2">
        <v>1817</v>
      </c>
      <c r="E954">
        <v>720</v>
      </c>
      <c r="H954" t="s">
        <v>1541</v>
      </c>
      <c r="I954" s="2">
        <v>2119</v>
      </c>
      <c r="J954" s="2">
        <v>0</v>
      </c>
      <c r="K954" s="2" t="s">
        <v>874</v>
      </c>
      <c r="L954" s="43" t="s">
        <v>5803</v>
      </c>
      <c r="P954" s="41">
        <v>3</v>
      </c>
      <c r="Q954" s="41">
        <v>12</v>
      </c>
      <c r="R954" s="41">
        <v>54</v>
      </c>
      <c r="S954" t="s">
        <v>3329</v>
      </c>
      <c r="AH954" t="s">
        <v>359</v>
      </c>
    </row>
    <row r="955" spans="1:34" ht="15.75">
      <c r="A955" s="29">
        <f t="shared" si="14"/>
        <v>21822</v>
      </c>
      <c r="B955" s="10">
        <v>1011</v>
      </c>
      <c r="C955">
        <v>5</v>
      </c>
      <c r="D955" s="8">
        <v>1817</v>
      </c>
      <c r="E955">
        <v>721</v>
      </c>
      <c r="F955" s="9"/>
      <c r="G955" s="9"/>
      <c r="H955" s="9" t="s">
        <v>1540</v>
      </c>
      <c r="I955" s="8">
        <f>17222+4600</f>
        <v>21822</v>
      </c>
      <c r="J955" s="8">
        <v>0</v>
      </c>
      <c r="K955" s="2" t="s">
        <v>874</v>
      </c>
      <c r="L955" s="43" t="s">
        <v>1281</v>
      </c>
      <c r="M955" s="41" t="s">
        <v>1282</v>
      </c>
      <c r="N955" s="41" t="s">
        <v>1551</v>
      </c>
      <c r="O955" s="41" t="s">
        <v>1283</v>
      </c>
      <c r="P955" s="41">
        <v>10</v>
      </c>
      <c r="Q955" s="41">
        <v>11</v>
      </c>
      <c r="R955" s="41">
        <v>50</v>
      </c>
      <c r="S955" t="s">
        <v>1284</v>
      </c>
      <c r="T955" t="s">
        <v>1285</v>
      </c>
      <c r="V955" t="s">
        <v>1286</v>
      </c>
      <c r="AA955" t="s">
        <v>1287</v>
      </c>
      <c r="AH955" t="s">
        <v>359</v>
      </c>
    </row>
    <row r="956" spans="1:34" ht="15.75">
      <c r="A956" s="29">
        <f t="shared" si="14"/>
        <v>18000</v>
      </c>
      <c r="B956" s="10">
        <v>1013</v>
      </c>
      <c r="C956">
        <v>5</v>
      </c>
      <c r="D956" s="8">
        <v>1817</v>
      </c>
      <c r="E956">
        <v>722</v>
      </c>
      <c r="F956" s="9"/>
      <c r="G956" s="9"/>
      <c r="H956" s="9" t="s">
        <v>1540</v>
      </c>
      <c r="I956" s="8">
        <v>0</v>
      </c>
      <c r="J956" s="8">
        <f>300+600</f>
        <v>900</v>
      </c>
      <c r="K956" s="2" t="s">
        <v>874</v>
      </c>
      <c r="L956" s="43" t="s">
        <v>4744</v>
      </c>
      <c r="M956" s="41" t="s">
        <v>4745</v>
      </c>
      <c r="N956" s="41" t="s">
        <v>851</v>
      </c>
      <c r="O956" s="41" t="s">
        <v>4746</v>
      </c>
      <c r="P956" s="41">
        <v>10</v>
      </c>
      <c r="Q956" s="41">
        <v>1</v>
      </c>
      <c r="R956" s="41" t="s">
        <v>1547</v>
      </c>
      <c r="S956" s="13" t="s">
        <v>1547</v>
      </c>
      <c r="T956" t="s">
        <v>4747</v>
      </c>
      <c r="V956" t="s">
        <v>3141</v>
      </c>
      <c r="X956">
        <v>1</v>
      </c>
      <c r="Y956" t="s">
        <v>2989</v>
      </c>
      <c r="AH956" t="s">
        <v>359</v>
      </c>
    </row>
    <row r="957" spans="1:34" ht="15.75">
      <c r="A957" s="29">
        <f t="shared" si="14"/>
        <v>23907</v>
      </c>
      <c r="B957" s="10">
        <v>1014</v>
      </c>
      <c r="C957">
        <v>5</v>
      </c>
      <c r="D957" s="8">
        <v>1817</v>
      </c>
      <c r="E957">
        <v>723</v>
      </c>
      <c r="F957" s="9"/>
      <c r="G957" s="9"/>
      <c r="H957" s="9" t="s">
        <v>1541</v>
      </c>
      <c r="I957" s="8">
        <v>15907</v>
      </c>
      <c r="J957" s="8">
        <v>400</v>
      </c>
      <c r="K957" s="2" t="s">
        <v>5804</v>
      </c>
      <c r="L957" s="43" t="s">
        <v>4748</v>
      </c>
      <c r="M957" s="41" t="s">
        <v>3528</v>
      </c>
      <c r="N957" s="41" t="s">
        <v>1545</v>
      </c>
      <c r="O957" s="41" t="s">
        <v>4749</v>
      </c>
      <c r="P957" s="41">
        <v>11</v>
      </c>
      <c r="Q957" s="41">
        <v>8</v>
      </c>
      <c r="S957" t="s">
        <v>4750</v>
      </c>
      <c r="T957" t="s">
        <v>4751</v>
      </c>
      <c r="V957" t="s">
        <v>4752</v>
      </c>
      <c r="X957">
        <v>1</v>
      </c>
      <c r="Y957" t="s">
        <v>1265</v>
      </c>
      <c r="AH957" t="s">
        <v>359</v>
      </c>
    </row>
    <row r="958" spans="1:34" ht="15.75">
      <c r="A958" s="29">
        <f t="shared" si="14"/>
        <v>79</v>
      </c>
      <c r="B958" s="6">
        <v>969</v>
      </c>
      <c r="C958">
        <v>5</v>
      </c>
      <c r="D958" s="2">
        <v>1817</v>
      </c>
      <c r="E958">
        <v>3088</v>
      </c>
      <c r="I958" s="2">
        <v>79</v>
      </c>
      <c r="J958" s="2">
        <v>0</v>
      </c>
      <c r="K958" s="2" t="s">
        <v>1549</v>
      </c>
      <c r="AH958" t="s">
        <v>359</v>
      </c>
    </row>
    <row r="959" spans="1:34" ht="15.75">
      <c r="A959" s="29">
        <f t="shared" si="14"/>
        <v>150</v>
      </c>
      <c r="B959" s="6">
        <v>947</v>
      </c>
      <c r="C959">
        <v>5</v>
      </c>
      <c r="D959" s="2">
        <v>1817</v>
      </c>
      <c r="E959">
        <v>3089</v>
      </c>
      <c r="H959" t="s">
        <v>1540</v>
      </c>
      <c r="I959" s="2">
        <v>150</v>
      </c>
      <c r="J959" s="2">
        <v>0</v>
      </c>
      <c r="K959" s="2" t="s">
        <v>884</v>
      </c>
      <c r="P959" s="41">
        <v>17</v>
      </c>
      <c r="Q959" s="41">
        <v>5</v>
      </c>
      <c r="R959" s="41">
        <v>68</v>
      </c>
      <c r="AH959" t="s">
        <v>359</v>
      </c>
    </row>
    <row r="960" spans="1:34" ht="15.75">
      <c r="A960" s="29">
        <f t="shared" si="14"/>
        <v>253</v>
      </c>
      <c r="B960" s="6">
        <v>1007</v>
      </c>
      <c r="C960">
        <v>5</v>
      </c>
      <c r="D960" s="2">
        <v>1817</v>
      </c>
      <c r="E960">
        <v>3090</v>
      </c>
      <c r="H960" t="s">
        <v>1541</v>
      </c>
      <c r="I960" s="2">
        <v>253</v>
      </c>
      <c r="J960" s="2">
        <v>0</v>
      </c>
      <c r="K960" s="2" t="s">
        <v>873</v>
      </c>
      <c r="AH960" t="s">
        <v>359</v>
      </c>
    </row>
    <row r="961" spans="1:34" ht="15.75">
      <c r="A961" s="29">
        <f t="shared" si="14"/>
        <v>256</v>
      </c>
      <c r="B961" s="6">
        <v>1006</v>
      </c>
      <c r="C961">
        <v>5</v>
      </c>
      <c r="D961" s="2">
        <v>1817</v>
      </c>
      <c r="E961">
        <v>3091</v>
      </c>
      <c r="H961" t="s">
        <v>1540</v>
      </c>
      <c r="I961" s="2">
        <v>256</v>
      </c>
      <c r="J961" s="2">
        <v>0</v>
      </c>
      <c r="K961" s="2" t="s">
        <v>873</v>
      </c>
      <c r="AH961" t="s">
        <v>359</v>
      </c>
    </row>
    <row r="962" spans="1:34" ht="15.75">
      <c r="A962" s="29">
        <f aca="true" t="shared" si="15" ref="A962:A1025">I962+J962*20*X962</f>
        <v>390</v>
      </c>
      <c r="B962" s="6">
        <v>1006</v>
      </c>
      <c r="C962">
        <v>5</v>
      </c>
      <c r="D962" s="2">
        <v>1817</v>
      </c>
      <c r="E962">
        <v>3092</v>
      </c>
      <c r="H962" t="s">
        <v>1540</v>
      </c>
      <c r="I962" s="2">
        <v>390</v>
      </c>
      <c r="J962" s="2">
        <v>0</v>
      </c>
      <c r="K962" s="2" t="s">
        <v>873</v>
      </c>
      <c r="AH962" t="s">
        <v>359</v>
      </c>
    </row>
    <row r="963" spans="1:34" ht="15.75">
      <c r="A963" s="29">
        <f t="shared" si="15"/>
        <v>410</v>
      </c>
      <c r="B963" s="6">
        <v>1009</v>
      </c>
      <c r="C963">
        <v>5</v>
      </c>
      <c r="D963" s="2">
        <v>1817</v>
      </c>
      <c r="E963">
        <v>3093</v>
      </c>
      <c r="H963" t="s">
        <v>1540</v>
      </c>
      <c r="I963" s="2">
        <v>410</v>
      </c>
      <c r="J963" s="2">
        <v>0</v>
      </c>
      <c r="K963" s="2" t="s">
        <v>873</v>
      </c>
      <c r="AH963" t="s">
        <v>359</v>
      </c>
    </row>
    <row r="964" spans="1:34" ht="15.75">
      <c r="A964" s="29">
        <f t="shared" si="15"/>
        <v>600</v>
      </c>
      <c r="B964" s="6">
        <v>1008</v>
      </c>
      <c r="C964">
        <v>5</v>
      </c>
      <c r="D964" s="2">
        <v>1817</v>
      </c>
      <c r="E964">
        <v>3094</v>
      </c>
      <c r="H964" t="s">
        <v>1540</v>
      </c>
      <c r="I964" s="2">
        <v>600</v>
      </c>
      <c r="J964" s="2">
        <v>0</v>
      </c>
      <c r="K964" s="2" t="s">
        <v>873</v>
      </c>
      <c r="AH964" t="s">
        <v>359</v>
      </c>
    </row>
    <row r="965" spans="1:34" ht="15.75">
      <c r="A965" s="29">
        <f t="shared" si="15"/>
        <v>727</v>
      </c>
      <c r="B965" s="6">
        <v>1006</v>
      </c>
      <c r="C965">
        <v>5</v>
      </c>
      <c r="D965" s="2">
        <v>1817</v>
      </c>
      <c r="E965">
        <v>3095</v>
      </c>
      <c r="H965" t="s">
        <v>1541</v>
      </c>
      <c r="I965" s="2">
        <v>727</v>
      </c>
      <c r="J965" s="2">
        <v>0</v>
      </c>
      <c r="K965" s="2" t="s">
        <v>873</v>
      </c>
      <c r="AH965" t="s">
        <v>359</v>
      </c>
    </row>
    <row r="966" spans="1:34" ht="15.75">
      <c r="A966" s="29">
        <f t="shared" si="15"/>
        <v>1303</v>
      </c>
      <c r="B966" s="6">
        <v>1006</v>
      </c>
      <c r="C966">
        <v>5</v>
      </c>
      <c r="D966" s="2">
        <v>1817</v>
      </c>
      <c r="E966">
        <v>3096</v>
      </c>
      <c r="H966" t="s">
        <v>1541</v>
      </c>
      <c r="I966" s="2">
        <v>1303</v>
      </c>
      <c r="J966" s="2">
        <v>0</v>
      </c>
      <c r="K966" s="2" t="s">
        <v>873</v>
      </c>
      <c r="AH966" t="s">
        <v>359</v>
      </c>
    </row>
    <row r="967" spans="1:34" ht="15.75">
      <c r="A967" s="29">
        <f t="shared" si="15"/>
        <v>2197</v>
      </c>
      <c r="B967" s="6">
        <v>1008</v>
      </c>
      <c r="C967">
        <v>5</v>
      </c>
      <c r="D967" s="2">
        <v>1817</v>
      </c>
      <c r="E967">
        <v>3097</v>
      </c>
      <c r="H967" t="s">
        <v>1541</v>
      </c>
      <c r="I967" s="2">
        <v>2197</v>
      </c>
      <c r="J967" s="2">
        <v>0</v>
      </c>
      <c r="K967" s="2" t="s">
        <v>873</v>
      </c>
      <c r="AH967" t="s">
        <v>359</v>
      </c>
    </row>
    <row r="968" spans="1:34" ht="15.75">
      <c r="A968" s="29">
        <f t="shared" si="15"/>
        <v>2617</v>
      </c>
      <c r="B968" s="6">
        <v>954</v>
      </c>
      <c r="C968">
        <v>5</v>
      </c>
      <c r="D968" s="2">
        <v>1817</v>
      </c>
      <c r="E968">
        <v>3098</v>
      </c>
      <c r="H968" t="s">
        <v>1540</v>
      </c>
      <c r="I968" s="2">
        <v>2617</v>
      </c>
      <c r="J968" s="2">
        <v>0</v>
      </c>
      <c r="K968" s="2" t="s">
        <v>864</v>
      </c>
      <c r="AH968" t="s">
        <v>359</v>
      </c>
    </row>
    <row r="969" spans="1:34" ht="15.75">
      <c r="A969" s="29">
        <f t="shared" si="15"/>
        <v>2622</v>
      </c>
      <c r="B969" s="6">
        <v>1007</v>
      </c>
      <c r="C969">
        <v>5</v>
      </c>
      <c r="D969" s="2">
        <v>1817</v>
      </c>
      <c r="E969">
        <v>3099</v>
      </c>
      <c r="H969" t="s">
        <v>1541</v>
      </c>
      <c r="I969" s="2">
        <v>2622</v>
      </c>
      <c r="J969" s="2">
        <v>0</v>
      </c>
      <c r="K969" s="2" t="s">
        <v>873</v>
      </c>
      <c r="AH969" t="s">
        <v>359</v>
      </c>
    </row>
    <row r="970" spans="1:34" ht="15.75">
      <c r="A970" s="29">
        <f t="shared" si="15"/>
        <v>3825</v>
      </c>
      <c r="B970" s="6">
        <v>1007</v>
      </c>
      <c r="C970">
        <v>5</v>
      </c>
      <c r="D970" s="2">
        <v>1817</v>
      </c>
      <c r="E970">
        <v>3100</v>
      </c>
      <c r="H970" t="s">
        <v>1541</v>
      </c>
      <c r="I970" s="2">
        <v>0</v>
      </c>
      <c r="J970" s="2">
        <v>360</v>
      </c>
      <c r="K970" s="2" t="s">
        <v>873</v>
      </c>
      <c r="X970">
        <f>17/32</f>
        <v>0.53125</v>
      </c>
      <c r="Y970" t="s">
        <v>3477</v>
      </c>
      <c r="AH970" t="s">
        <v>359</v>
      </c>
    </row>
    <row r="971" spans="1:34" ht="15.75">
      <c r="A971" s="29">
        <f t="shared" si="15"/>
        <v>3890</v>
      </c>
      <c r="B971" s="6">
        <v>1006</v>
      </c>
      <c r="C971">
        <v>5</v>
      </c>
      <c r="D971" s="2">
        <v>1817</v>
      </c>
      <c r="E971">
        <v>3101</v>
      </c>
      <c r="H971" t="s">
        <v>1540</v>
      </c>
      <c r="I971" s="2">
        <v>3890</v>
      </c>
      <c r="J971" s="2">
        <v>0</v>
      </c>
      <c r="K971" s="2" t="s">
        <v>873</v>
      </c>
      <c r="AH971" t="s">
        <v>359</v>
      </c>
    </row>
    <row r="972" spans="1:34" ht="15.75">
      <c r="A972" s="29">
        <f t="shared" si="15"/>
        <v>4000</v>
      </c>
      <c r="B972" s="6">
        <v>962</v>
      </c>
      <c r="C972">
        <v>5</v>
      </c>
      <c r="D972" s="2">
        <v>1817</v>
      </c>
      <c r="E972">
        <v>3102</v>
      </c>
      <c r="H972" t="s">
        <v>1541</v>
      </c>
      <c r="I972" s="2">
        <v>0</v>
      </c>
      <c r="J972" s="2">
        <v>200</v>
      </c>
      <c r="K972" s="2" t="s">
        <v>850</v>
      </c>
      <c r="X972">
        <v>1</v>
      </c>
      <c r="Y972" t="s">
        <v>2987</v>
      </c>
      <c r="AH972" t="s">
        <v>359</v>
      </c>
    </row>
    <row r="973" spans="1:34" ht="15.75">
      <c r="A973" s="29">
        <f t="shared" si="15"/>
        <v>8985</v>
      </c>
      <c r="B973" s="6">
        <v>1007</v>
      </c>
      <c r="C973">
        <v>5</v>
      </c>
      <c r="D973" s="2">
        <v>1817</v>
      </c>
      <c r="E973">
        <v>3103</v>
      </c>
      <c r="H973" t="s">
        <v>1540</v>
      </c>
      <c r="I973" s="2">
        <v>8985</v>
      </c>
      <c r="J973" s="2">
        <v>0</v>
      </c>
      <c r="K973" s="2" t="s">
        <v>873</v>
      </c>
      <c r="AH973" t="s">
        <v>359</v>
      </c>
    </row>
    <row r="974" spans="1:34" ht="15.75">
      <c r="A974" s="29">
        <f t="shared" si="15"/>
        <v>15000</v>
      </c>
      <c r="B974" s="6">
        <v>949</v>
      </c>
      <c r="C974">
        <v>5</v>
      </c>
      <c r="D974" s="2">
        <v>1817</v>
      </c>
      <c r="E974">
        <v>3104</v>
      </c>
      <c r="H974" t="s">
        <v>1541</v>
      </c>
      <c r="I974" s="2">
        <v>15000</v>
      </c>
      <c r="J974" s="2">
        <v>0</v>
      </c>
      <c r="K974" s="2" t="s">
        <v>884</v>
      </c>
      <c r="AH974" t="s">
        <v>359</v>
      </c>
    </row>
    <row r="975" spans="1:34" ht="15.75">
      <c r="A975" s="29">
        <f t="shared" si="15"/>
        <v>15000</v>
      </c>
      <c r="B975" s="6">
        <v>1007</v>
      </c>
      <c r="C975">
        <v>5</v>
      </c>
      <c r="D975" s="2">
        <v>1817</v>
      </c>
      <c r="E975">
        <v>3105</v>
      </c>
      <c r="H975" t="s">
        <v>1540</v>
      </c>
      <c r="I975" s="2">
        <v>0</v>
      </c>
      <c r="J975" s="2">
        <v>750</v>
      </c>
      <c r="K975" s="2" t="s">
        <v>873</v>
      </c>
      <c r="X975">
        <v>1</v>
      </c>
      <c r="Y975" t="s">
        <v>2993</v>
      </c>
      <c r="AH975" t="s">
        <v>359</v>
      </c>
    </row>
    <row r="976" spans="1:34" ht="15.75">
      <c r="A976" s="29">
        <f t="shared" si="15"/>
        <v>43</v>
      </c>
      <c r="B976" s="15">
        <v>828</v>
      </c>
      <c r="C976" s="15">
        <v>6</v>
      </c>
      <c r="D976" s="2">
        <v>1817</v>
      </c>
      <c r="E976">
        <v>3124</v>
      </c>
      <c r="F976" s="15"/>
      <c r="G976" s="15"/>
      <c r="H976" s="15" t="s">
        <v>1540</v>
      </c>
      <c r="I976" s="15">
        <v>43</v>
      </c>
      <c r="J976" s="15">
        <v>0</v>
      </c>
      <c r="K976" s="18" t="s">
        <v>862</v>
      </c>
      <c r="L976" s="43" t="s">
        <v>918</v>
      </c>
      <c r="P976" s="41">
        <v>1</v>
      </c>
      <c r="Q976" s="41">
        <v>7</v>
      </c>
      <c r="R976" s="41">
        <v>78</v>
      </c>
      <c r="S976" t="s">
        <v>3321</v>
      </c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t="s">
        <v>359</v>
      </c>
    </row>
    <row r="977" spans="1:34" ht="15.75">
      <c r="A977" s="29">
        <f t="shared" si="15"/>
        <v>195</v>
      </c>
      <c r="B977" s="15">
        <v>828</v>
      </c>
      <c r="C977" s="15">
        <v>6</v>
      </c>
      <c r="D977" s="2">
        <v>1817</v>
      </c>
      <c r="E977">
        <v>3125</v>
      </c>
      <c r="F977" s="15"/>
      <c r="G977" s="15"/>
      <c r="H977" s="15" t="s">
        <v>1540</v>
      </c>
      <c r="I977" s="15">
        <v>195</v>
      </c>
      <c r="J977" s="15">
        <v>0</v>
      </c>
      <c r="K977" s="18" t="s">
        <v>862</v>
      </c>
      <c r="L977" s="43" t="s">
        <v>919</v>
      </c>
      <c r="P977" s="41">
        <v>10</v>
      </c>
      <c r="Q977" s="41">
        <v>5</v>
      </c>
      <c r="R977" s="41">
        <v>45</v>
      </c>
      <c r="S977" t="s">
        <v>3321</v>
      </c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t="s">
        <v>359</v>
      </c>
    </row>
    <row r="978" spans="1:34" ht="15.75">
      <c r="A978" s="29">
        <f t="shared" si="15"/>
        <v>751</v>
      </c>
      <c r="B978" s="15">
        <v>828</v>
      </c>
      <c r="C978" s="15">
        <v>6</v>
      </c>
      <c r="D978" s="2">
        <v>1817</v>
      </c>
      <c r="E978">
        <v>3126</v>
      </c>
      <c r="F978" s="15"/>
      <c r="G978" s="15"/>
      <c r="H978" s="15" t="s">
        <v>1540</v>
      </c>
      <c r="I978" s="15">
        <v>751</v>
      </c>
      <c r="J978" s="15">
        <v>0</v>
      </c>
      <c r="K978" s="18" t="s">
        <v>862</v>
      </c>
      <c r="L978" s="43" t="s">
        <v>919</v>
      </c>
      <c r="P978" s="41">
        <v>1</v>
      </c>
      <c r="Q978" s="41">
        <v>11</v>
      </c>
      <c r="R978" s="41">
        <v>59</v>
      </c>
      <c r="S978" s="15" t="s">
        <v>1547</v>
      </c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t="s">
        <v>359</v>
      </c>
    </row>
    <row r="979" spans="1:34" ht="15.75">
      <c r="A979" s="29">
        <f t="shared" si="15"/>
        <v>20</v>
      </c>
      <c r="B979" s="15">
        <v>828</v>
      </c>
      <c r="C979" s="15">
        <v>6</v>
      </c>
      <c r="D979" s="2">
        <v>1817</v>
      </c>
      <c r="E979">
        <v>3127</v>
      </c>
      <c r="F979" s="15"/>
      <c r="G979" s="15"/>
      <c r="H979" s="15" t="s">
        <v>1540</v>
      </c>
      <c r="I979" s="15">
        <v>20</v>
      </c>
      <c r="J979" s="15">
        <v>0</v>
      </c>
      <c r="K979" s="18" t="s">
        <v>862</v>
      </c>
      <c r="L979" s="43" t="s">
        <v>2340</v>
      </c>
      <c r="P979" s="41">
        <v>16</v>
      </c>
      <c r="Q979" s="41">
        <v>2</v>
      </c>
      <c r="R979" s="41">
        <v>32</v>
      </c>
      <c r="S979" s="15" t="s">
        <v>1547</v>
      </c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t="s">
        <v>359</v>
      </c>
    </row>
    <row r="980" spans="1:34" ht="15.75">
      <c r="A980" s="29">
        <f t="shared" si="15"/>
        <v>228</v>
      </c>
      <c r="B980" s="15">
        <v>829</v>
      </c>
      <c r="C980" s="15">
        <v>6</v>
      </c>
      <c r="D980" s="2">
        <v>1817</v>
      </c>
      <c r="E980">
        <v>3158</v>
      </c>
      <c r="F980" s="15"/>
      <c r="G980" s="15"/>
      <c r="H980" s="15" t="s">
        <v>1541</v>
      </c>
      <c r="I980" s="15">
        <v>228</v>
      </c>
      <c r="J980" s="15">
        <v>0</v>
      </c>
      <c r="K980" s="18" t="s">
        <v>862</v>
      </c>
      <c r="L980" s="43" t="s">
        <v>920</v>
      </c>
      <c r="P980" s="41">
        <v>6</v>
      </c>
      <c r="Q980" s="41">
        <v>11</v>
      </c>
      <c r="R980" s="41">
        <v>66</v>
      </c>
      <c r="S980" t="s">
        <v>3321</v>
      </c>
      <c r="T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t="s">
        <v>359</v>
      </c>
    </row>
    <row r="981" spans="1:34" ht="15.75">
      <c r="A981" s="29">
        <f t="shared" si="15"/>
        <v>598</v>
      </c>
      <c r="B981" s="15">
        <v>829</v>
      </c>
      <c r="C981" s="15">
        <v>6</v>
      </c>
      <c r="D981" s="2">
        <v>1817</v>
      </c>
      <c r="E981">
        <v>3160</v>
      </c>
      <c r="F981" s="15"/>
      <c r="G981" s="15"/>
      <c r="H981" s="15" t="s">
        <v>1541</v>
      </c>
      <c r="I981" s="15">
        <v>598</v>
      </c>
      <c r="J981" s="15">
        <v>0</v>
      </c>
      <c r="K981" s="18" t="s">
        <v>862</v>
      </c>
      <c r="L981" s="43" t="s">
        <v>983</v>
      </c>
      <c r="P981" s="41">
        <v>9</v>
      </c>
      <c r="Q981" s="41">
        <v>9</v>
      </c>
      <c r="R981" s="41">
        <v>59</v>
      </c>
      <c r="S981" t="s">
        <v>3321</v>
      </c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t="s">
        <v>359</v>
      </c>
    </row>
    <row r="982" spans="1:34" ht="15.75">
      <c r="A982" s="29">
        <f t="shared" si="15"/>
        <v>100</v>
      </c>
      <c r="B982" s="15">
        <v>829</v>
      </c>
      <c r="C982" s="15">
        <v>6</v>
      </c>
      <c r="D982" s="2">
        <v>1817</v>
      </c>
      <c r="E982">
        <v>3161</v>
      </c>
      <c r="F982" s="15"/>
      <c r="G982" s="15"/>
      <c r="H982" s="15" t="s">
        <v>1540</v>
      </c>
      <c r="I982" s="15">
        <v>100</v>
      </c>
      <c r="J982" s="15">
        <v>0</v>
      </c>
      <c r="K982" s="18" t="s">
        <v>862</v>
      </c>
      <c r="L982" s="43" t="s">
        <v>983</v>
      </c>
      <c r="P982" s="41">
        <v>21</v>
      </c>
      <c r="Q982" s="41">
        <v>2</v>
      </c>
      <c r="R982" s="41" t="s">
        <v>1547</v>
      </c>
      <c r="S982" s="15" t="s">
        <v>1547</v>
      </c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t="s">
        <v>359</v>
      </c>
    </row>
    <row r="983" spans="1:34" ht="15.75">
      <c r="A983" s="29">
        <f t="shared" si="15"/>
        <v>100</v>
      </c>
      <c r="B983" s="15">
        <v>829</v>
      </c>
      <c r="C983" s="15">
        <v>6</v>
      </c>
      <c r="D983" s="2">
        <v>1817</v>
      </c>
      <c r="E983">
        <v>3162</v>
      </c>
      <c r="F983" s="15"/>
      <c r="G983" s="15"/>
      <c r="H983" s="15" t="s">
        <v>1540</v>
      </c>
      <c r="I983" s="15">
        <v>100</v>
      </c>
      <c r="J983" s="15">
        <v>0</v>
      </c>
      <c r="K983" s="18" t="s">
        <v>862</v>
      </c>
      <c r="L983" s="43" t="s">
        <v>921</v>
      </c>
      <c r="P983" s="41">
        <v>21</v>
      </c>
      <c r="Q983" s="41">
        <v>2</v>
      </c>
      <c r="R983" s="41">
        <v>34</v>
      </c>
      <c r="S983" t="s">
        <v>3321</v>
      </c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t="s">
        <v>359</v>
      </c>
    </row>
    <row r="984" spans="1:34" ht="15.75">
      <c r="A984" s="29">
        <f t="shared" si="15"/>
        <v>16</v>
      </c>
      <c r="B984" s="15">
        <v>829</v>
      </c>
      <c r="C984" s="15">
        <v>6</v>
      </c>
      <c r="D984" s="2">
        <v>1817</v>
      </c>
      <c r="E984">
        <v>3163</v>
      </c>
      <c r="F984" s="15"/>
      <c r="G984" s="15"/>
      <c r="H984" s="15" t="s">
        <v>1540</v>
      </c>
      <c r="I984" s="15">
        <v>16</v>
      </c>
      <c r="J984" s="15">
        <v>0</v>
      </c>
      <c r="K984" s="18" t="s">
        <v>862</v>
      </c>
      <c r="L984" s="43" t="s">
        <v>921</v>
      </c>
      <c r="P984" s="41">
        <v>20</v>
      </c>
      <c r="Q984" s="41">
        <v>6</v>
      </c>
      <c r="R984" s="41">
        <v>68</v>
      </c>
      <c r="S984" t="s">
        <v>3321</v>
      </c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t="s">
        <v>359</v>
      </c>
    </row>
    <row r="985" spans="1:34" ht="15.75">
      <c r="A985" s="29">
        <f t="shared" si="15"/>
        <v>200</v>
      </c>
      <c r="B985" s="15">
        <v>830</v>
      </c>
      <c r="C985" s="15">
        <v>6</v>
      </c>
      <c r="D985" s="2">
        <v>1817</v>
      </c>
      <c r="E985">
        <v>3201</v>
      </c>
      <c r="F985" s="15"/>
      <c r="G985" s="15"/>
      <c r="H985" s="15" t="s">
        <v>1540</v>
      </c>
      <c r="I985" s="15">
        <v>200</v>
      </c>
      <c r="J985" s="15">
        <v>0</v>
      </c>
      <c r="K985" s="15" t="s">
        <v>863</v>
      </c>
      <c r="L985" s="43" t="s">
        <v>922</v>
      </c>
      <c r="P985" s="41">
        <v>19</v>
      </c>
      <c r="Q985" s="41">
        <v>9</v>
      </c>
      <c r="R985" s="41">
        <v>24</v>
      </c>
      <c r="S985" t="s">
        <v>3321</v>
      </c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t="s">
        <v>359</v>
      </c>
    </row>
    <row r="986" spans="1:34" ht="15">
      <c r="A986" s="29">
        <f t="shared" si="15"/>
        <v>4000</v>
      </c>
      <c r="B986" s="15">
        <v>830</v>
      </c>
      <c r="C986" s="15">
        <v>6</v>
      </c>
      <c r="D986" s="15">
        <v>1817</v>
      </c>
      <c r="E986">
        <v>3202</v>
      </c>
      <c r="F986" s="15"/>
      <c r="G986" s="15"/>
      <c r="H986" s="15" t="s">
        <v>1541</v>
      </c>
      <c r="I986" s="15">
        <v>4000</v>
      </c>
      <c r="J986" s="15">
        <v>0</v>
      </c>
      <c r="K986" s="15" t="s">
        <v>863</v>
      </c>
      <c r="L986" s="43" t="s">
        <v>989</v>
      </c>
      <c r="P986" s="41">
        <v>13</v>
      </c>
      <c r="Q986" s="41">
        <v>8</v>
      </c>
      <c r="R986" s="41">
        <v>37</v>
      </c>
      <c r="S986" t="s">
        <v>3321</v>
      </c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t="s">
        <v>359</v>
      </c>
    </row>
    <row r="987" spans="1:34" ht="15.75">
      <c r="A987" s="29">
        <f t="shared" si="15"/>
        <v>307</v>
      </c>
      <c r="B987" s="15">
        <v>831</v>
      </c>
      <c r="C987" s="15">
        <v>6</v>
      </c>
      <c r="D987" s="2">
        <v>1817</v>
      </c>
      <c r="E987">
        <v>3254</v>
      </c>
      <c r="F987" s="15"/>
      <c r="G987" s="15"/>
      <c r="H987" s="15" t="s">
        <v>1549</v>
      </c>
      <c r="I987" s="15">
        <v>307</v>
      </c>
      <c r="J987" s="15">
        <v>0</v>
      </c>
      <c r="K987" s="15" t="s">
        <v>863</v>
      </c>
      <c r="L987" s="43" t="s">
        <v>990</v>
      </c>
      <c r="P987" s="41">
        <v>28</v>
      </c>
      <c r="Q987" s="41">
        <v>4</v>
      </c>
      <c r="R987" s="41">
        <v>70</v>
      </c>
      <c r="S987" t="s">
        <v>3321</v>
      </c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t="s">
        <v>359</v>
      </c>
    </row>
    <row r="988" spans="1:34" ht="15.75">
      <c r="A988" s="29">
        <f t="shared" si="15"/>
        <v>80</v>
      </c>
      <c r="B988" s="15">
        <v>831</v>
      </c>
      <c r="C988" s="15">
        <v>6</v>
      </c>
      <c r="D988" s="2">
        <v>1817</v>
      </c>
      <c r="E988">
        <v>3255</v>
      </c>
      <c r="F988" s="15"/>
      <c r="G988" s="15"/>
      <c r="H988" s="15" t="s">
        <v>1540</v>
      </c>
      <c r="I988" s="15">
        <v>80</v>
      </c>
      <c r="J988" s="15">
        <v>0</v>
      </c>
      <c r="K988" s="15" t="s">
        <v>863</v>
      </c>
      <c r="L988" s="43" t="s">
        <v>2347</v>
      </c>
      <c r="P988" s="41">
        <v>10</v>
      </c>
      <c r="Q988" s="41">
        <v>3</v>
      </c>
      <c r="R988" s="41">
        <v>32</v>
      </c>
      <c r="S988" t="s">
        <v>3321</v>
      </c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t="s">
        <v>359</v>
      </c>
    </row>
    <row r="989" spans="1:34" ht="15.75">
      <c r="A989" s="29">
        <f t="shared" si="15"/>
        <v>769</v>
      </c>
      <c r="B989" s="15">
        <v>831</v>
      </c>
      <c r="C989" s="15">
        <v>6</v>
      </c>
      <c r="D989" s="2">
        <v>1817</v>
      </c>
      <c r="E989">
        <v>3256</v>
      </c>
      <c r="F989" s="15"/>
      <c r="G989" s="15"/>
      <c r="H989" s="15" t="s">
        <v>1540</v>
      </c>
      <c r="I989" s="15">
        <v>769</v>
      </c>
      <c r="J989" s="15">
        <v>0</v>
      </c>
      <c r="K989" s="15" t="s">
        <v>863</v>
      </c>
      <c r="L989" s="43" t="s">
        <v>4184</v>
      </c>
      <c r="P989" s="41">
        <v>14</v>
      </c>
      <c r="Q989" s="41">
        <v>3</v>
      </c>
      <c r="R989" s="41">
        <v>87</v>
      </c>
      <c r="S989" s="15" t="s">
        <v>2348</v>
      </c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t="s">
        <v>359</v>
      </c>
    </row>
    <row r="990" spans="1:34" ht="15.75">
      <c r="A990" s="29">
        <f t="shared" si="15"/>
        <v>760</v>
      </c>
      <c r="B990" s="15">
        <v>831</v>
      </c>
      <c r="C990" s="2">
        <v>6</v>
      </c>
      <c r="D990" s="2">
        <v>1817</v>
      </c>
      <c r="E990">
        <v>3257</v>
      </c>
      <c r="F990" s="15"/>
      <c r="G990" s="15"/>
      <c r="H990" s="15" t="s">
        <v>850</v>
      </c>
      <c r="I990" s="15">
        <v>760</v>
      </c>
      <c r="J990" s="15">
        <v>0</v>
      </c>
      <c r="K990" s="15" t="s">
        <v>863</v>
      </c>
      <c r="L990" s="43" t="s">
        <v>991</v>
      </c>
      <c r="P990" s="41">
        <v>19</v>
      </c>
      <c r="Q990" s="41">
        <v>3</v>
      </c>
      <c r="R990" s="41">
        <v>48</v>
      </c>
      <c r="S990" t="s">
        <v>3321</v>
      </c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t="s">
        <v>359</v>
      </c>
    </row>
    <row r="991" spans="1:34" ht="15.75">
      <c r="A991" s="29">
        <f t="shared" si="15"/>
        <v>454</v>
      </c>
      <c r="B991" s="15">
        <v>831</v>
      </c>
      <c r="C991" s="15">
        <v>6</v>
      </c>
      <c r="D991" s="2">
        <v>1817</v>
      </c>
      <c r="E991">
        <v>3258</v>
      </c>
      <c r="F991" s="15"/>
      <c r="G991" s="15"/>
      <c r="H991" s="15" t="s">
        <v>1540</v>
      </c>
      <c r="I991" s="15">
        <v>454</v>
      </c>
      <c r="J991" s="15">
        <v>0</v>
      </c>
      <c r="K991" s="15" t="s">
        <v>863</v>
      </c>
      <c r="L991" s="43" t="s">
        <v>1317</v>
      </c>
      <c r="P991" s="41">
        <v>24</v>
      </c>
      <c r="Q991" s="41">
        <v>4</v>
      </c>
      <c r="R991" s="41" t="s">
        <v>868</v>
      </c>
      <c r="S991" t="s">
        <v>3321</v>
      </c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t="s">
        <v>359</v>
      </c>
    </row>
    <row r="992" spans="1:34" ht="15.75">
      <c r="A992" s="29">
        <f t="shared" si="15"/>
        <v>184</v>
      </c>
      <c r="B992" s="15">
        <v>831</v>
      </c>
      <c r="C992" s="15">
        <v>6</v>
      </c>
      <c r="D992" s="2">
        <v>1817</v>
      </c>
      <c r="E992">
        <v>3259</v>
      </c>
      <c r="F992" s="15"/>
      <c r="G992" s="15"/>
      <c r="H992" s="15" t="s">
        <v>1540</v>
      </c>
      <c r="I992" s="15">
        <v>184</v>
      </c>
      <c r="J992" s="15">
        <v>0</v>
      </c>
      <c r="K992" s="15" t="s">
        <v>863</v>
      </c>
      <c r="L992" s="43" t="s">
        <v>2349</v>
      </c>
      <c r="P992" s="41">
        <v>6</v>
      </c>
      <c r="Q992" s="41">
        <v>6</v>
      </c>
      <c r="R992" s="41">
        <v>36</v>
      </c>
      <c r="S992" t="s">
        <v>3321</v>
      </c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t="s">
        <v>359</v>
      </c>
    </row>
    <row r="993" spans="1:34" ht="15.75">
      <c r="A993" s="29">
        <f t="shared" si="15"/>
        <v>85000</v>
      </c>
      <c r="B993" s="15">
        <v>831</v>
      </c>
      <c r="C993" s="15">
        <v>6</v>
      </c>
      <c r="D993" s="2">
        <v>1817</v>
      </c>
      <c r="E993">
        <v>3260</v>
      </c>
      <c r="F993" s="15"/>
      <c r="G993" s="15"/>
      <c r="H993" s="15" t="s">
        <v>1540</v>
      </c>
      <c r="I993" s="15">
        <v>0</v>
      </c>
      <c r="J993" s="15">
        <v>4250</v>
      </c>
      <c r="K993" s="15" t="s">
        <v>863</v>
      </c>
      <c r="L993" s="43" t="s">
        <v>2350</v>
      </c>
      <c r="M993" s="41" t="s">
        <v>2351</v>
      </c>
      <c r="N993" s="41" t="s">
        <v>3579</v>
      </c>
      <c r="O993" s="41" t="s">
        <v>2352</v>
      </c>
      <c r="P993" s="41">
        <v>28</v>
      </c>
      <c r="Q993" s="41">
        <v>7</v>
      </c>
      <c r="R993" s="41" t="s">
        <v>1547</v>
      </c>
      <c r="S993" s="15" t="s">
        <v>847</v>
      </c>
      <c r="T993" s="15" t="s">
        <v>2353</v>
      </c>
      <c r="U993" s="15"/>
      <c r="V993" s="15" t="s">
        <v>2354</v>
      </c>
      <c r="W993" s="15"/>
      <c r="X993" s="15">
        <v>1</v>
      </c>
      <c r="Y993" s="15" t="s">
        <v>5999</v>
      </c>
      <c r="Z993" s="15"/>
      <c r="AA993" s="15"/>
      <c r="AB993" s="15"/>
      <c r="AC993" s="15"/>
      <c r="AD993" s="15"/>
      <c r="AE993" s="15"/>
      <c r="AF993" s="15"/>
      <c r="AG993" s="15"/>
      <c r="AH993" t="s">
        <v>359</v>
      </c>
    </row>
    <row r="994" spans="1:34" ht="15.75">
      <c r="A994" s="29">
        <f t="shared" si="15"/>
        <v>1512</v>
      </c>
      <c r="B994" s="15">
        <v>831</v>
      </c>
      <c r="C994" s="15">
        <v>6</v>
      </c>
      <c r="D994" s="2">
        <v>1817</v>
      </c>
      <c r="E994">
        <v>3261</v>
      </c>
      <c r="F994" s="15"/>
      <c r="G994" s="15"/>
      <c r="H994" s="15" t="s">
        <v>1541</v>
      </c>
      <c r="I994" s="15">
        <v>1512</v>
      </c>
      <c r="J994" s="15">
        <v>0</v>
      </c>
      <c r="K994" s="15" t="s">
        <v>863</v>
      </c>
      <c r="L994" s="43" t="s">
        <v>6000</v>
      </c>
      <c r="P994" s="41">
        <v>18</v>
      </c>
      <c r="Q994" s="41">
        <v>3</v>
      </c>
      <c r="R994" s="41" t="s">
        <v>868</v>
      </c>
      <c r="S994" s="15" t="s">
        <v>2291</v>
      </c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t="s">
        <v>359</v>
      </c>
    </row>
    <row r="995" spans="1:34" ht="15.75">
      <c r="A995" s="29">
        <f t="shared" si="15"/>
        <v>283</v>
      </c>
      <c r="B995" s="15">
        <v>831</v>
      </c>
      <c r="C995" s="15">
        <v>6</v>
      </c>
      <c r="D995" s="2">
        <v>1817</v>
      </c>
      <c r="E995">
        <v>3262</v>
      </c>
      <c r="F995" s="15"/>
      <c r="G995" s="15"/>
      <c r="H995" s="15" t="s">
        <v>1540</v>
      </c>
      <c r="I995" s="15">
        <v>283</v>
      </c>
      <c r="J995" s="15">
        <v>0</v>
      </c>
      <c r="K995" s="15" t="s">
        <v>863</v>
      </c>
      <c r="L995" s="43" t="s">
        <v>6000</v>
      </c>
      <c r="P995" s="41">
        <v>14</v>
      </c>
      <c r="Q995" s="41">
        <v>5</v>
      </c>
      <c r="R995" s="41" t="s">
        <v>868</v>
      </c>
      <c r="S995" t="s">
        <v>3321</v>
      </c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t="s">
        <v>359</v>
      </c>
    </row>
    <row r="996" spans="1:34" ht="15.75">
      <c r="A996" s="29">
        <f t="shared" si="15"/>
        <v>943</v>
      </c>
      <c r="B996" s="15">
        <v>832</v>
      </c>
      <c r="C996" s="2">
        <v>6</v>
      </c>
      <c r="D996" s="2">
        <v>1817</v>
      </c>
      <c r="E996">
        <v>3294</v>
      </c>
      <c r="F996" s="15"/>
      <c r="G996" s="15"/>
      <c r="H996" s="15" t="s">
        <v>1549</v>
      </c>
      <c r="I996" s="15">
        <v>943</v>
      </c>
      <c r="J996" s="15">
        <v>0</v>
      </c>
      <c r="K996" s="15" t="s">
        <v>863</v>
      </c>
      <c r="L996" s="43" t="s">
        <v>6001</v>
      </c>
      <c r="P996" s="41">
        <v>24</v>
      </c>
      <c r="Q996" s="41">
        <v>10</v>
      </c>
      <c r="R996" s="41">
        <v>48</v>
      </c>
      <c r="S996" t="s">
        <v>3321</v>
      </c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t="s">
        <v>359</v>
      </c>
    </row>
    <row r="997" spans="1:34" ht="15.75">
      <c r="A997" s="29">
        <f t="shared" si="15"/>
        <v>110</v>
      </c>
      <c r="B997" s="15">
        <v>832</v>
      </c>
      <c r="C997" s="15">
        <v>6</v>
      </c>
      <c r="D997" s="2">
        <v>1817</v>
      </c>
      <c r="E997">
        <v>3295</v>
      </c>
      <c r="F997" s="15"/>
      <c r="G997" s="15"/>
      <c r="H997" s="15" t="s">
        <v>1540</v>
      </c>
      <c r="I997" s="15">
        <v>110</v>
      </c>
      <c r="J997" s="15">
        <v>0</v>
      </c>
      <c r="K997" s="15" t="s">
        <v>863</v>
      </c>
      <c r="L997" s="43" t="s">
        <v>1304</v>
      </c>
      <c r="P997" s="41">
        <v>4</v>
      </c>
      <c r="Q997" s="41">
        <v>10</v>
      </c>
      <c r="R997" s="41">
        <v>68</v>
      </c>
      <c r="S997" s="15" t="s">
        <v>1547</v>
      </c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t="s">
        <v>359</v>
      </c>
    </row>
    <row r="998" spans="1:34" ht="15.75">
      <c r="A998" s="29">
        <f t="shared" si="15"/>
        <v>80</v>
      </c>
      <c r="B998" s="15">
        <v>832</v>
      </c>
      <c r="C998" s="15">
        <v>6</v>
      </c>
      <c r="D998" s="2">
        <v>1817</v>
      </c>
      <c r="E998">
        <v>3296</v>
      </c>
      <c r="F998" s="15"/>
      <c r="G998" s="15"/>
      <c r="H998" s="15" t="s">
        <v>1541</v>
      </c>
      <c r="I998" s="15">
        <v>80</v>
      </c>
      <c r="J998" s="15">
        <v>0</v>
      </c>
      <c r="K998" s="15" t="s">
        <v>863</v>
      </c>
      <c r="L998" s="43" t="s">
        <v>994</v>
      </c>
      <c r="P998" s="41">
        <v>26</v>
      </c>
      <c r="Q998" s="41">
        <v>2</v>
      </c>
      <c r="R998" s="41">
        <v>56</v>
      </c>
      <c r="S998" t="s">
        <v>3321</v>
      </c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t="s">
        <v>359</v>
      </c>
    </row>
    <row r="999" spans="1:34" ht="15.75">
      <c r="A999" s="29">
        <f t="shared" si="15"/>
        <v>8391</v>
      </c>
      <c r="B999" s="15">
        <v>832</v>
      </c>
      <c r="C999" s="15">
        <v>6</v>
      </c>
      <c r="D999" s="2">
        <v>1817</v>
      </c>
      <c r="E999">
        <v>3297</v>
      </c>
      <c r="F999" s="15"/>
      <c r="G999" s="15"/>
      <c r="H999" s="15" t="s">
        <v>1541</v>
      </c>
      <c r="I999" s="15">
        <v>8391</v>
      </c>
      <c r="J999" s="15">
        <v>0</v>
      </c>
      <c r="K999" s="15" t="s">
        <v>863</v>
      </c>
      <c r="L999" s="43" t="s">
        <v>1314</v>
      </c>
      <c r="P999" s="41">
        <v>16</v>
      </c>
      <c r="Q999" s="41">
        <v>10</v>
      </c>
      <c r="R999" s="41" t="s">
        <v>1547</v>
      </c>
      <c r="S999" s="15" t="s">
        <v>1547</v>
      </c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t="s">
        <v>359</v>
      </c>
    </row>
    <row r="1000" spans="1:34" ht="15">
      <c r="A1000" s="29">
        <f t="shared" si="15"/>
        <v>220</v>
      </c>
      <c r="B1000" s="15">
        <v>832</v>
      </c>
      <c r="C1000" s="15">
        <v>6</v>
      </c>
      <c r="D1000" s="15">
        <v>1817</v>
      </c>
      <c r="E1000">
        <v>3298</v>
      </c>
      <c r="F1000" s="15"/>
      <c r="G1000" s="15"/>
      <c r="H1000" s="15" t="s">
        <v>4655</v>
      </c>
      <c r="I1000" s="15">
        <v>220</v>
      </c>
      <c r="J1000" s="15">
        <v>0</v>
      </c>
      <c r="K1000" s="15" t="s">
        <v>863</v>
      </c>
      <c r="L1000" s="43" t="s">
        <v>996</v>
      </c>
      <c r="P1000" s="41">
        <v>31</v>
      </c>
      <c r="Q1000" s="41">
        <v>8</v>
      </c>
      <c r="R1000" s="41">
        <v>51</v>
      </c>
      <c r="S1000" t="s">
        <v>3321</v>
      </c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t="s">
        <v>359</v>
      </c>
    </row>
    <row r="1001" spans="1:34" ht="15.75">
      <c r="A1001" s="29">
        <f t="shared" si="15"/>
        <v>1272</v>
      </c>
      <c r="B1001" s="15">
        <v>833</v>
      </c>
      <c r="C1001" s="15">
        <v>6</v>
      </c>
      <c r="D1001" s="2">
        <v>1817</v>
      </c>
      <c r="E1001">
        <v>3340</v>
      </c>
      <c r="F1001" s="15"/>
      <c r="G1001" s="15"/>
      <c r="H1001" s="15" t="s">
        <v>1540</v>
      </c>
      <c r="I1001" s="15">
        <v>1272</v>
      </c>
      <c r="J1001" s="15">
        <v>0</v>
      </c>
      <c r="K1001" s="15" t="s">
        <v>863</v>
      </c>
      <c r="L1001" s="43" t="s">
        <v>6002</v>
      </c>
      <c r="P1001" s="41">
        <v>20</v>
      </c>
      <c r="Q1001" s="41">
        <v>3</v>
      </c>
      <c r="R1001" s="41" t="s">
        <v>868</v>
      </c>
      <c r="S1001" t="s">
        <v>3321</v>
      </c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t="s">
        <v>359</v>
      </c>
    </row>
    <row r="1002" spans="1:34" ht="15.75">
      <c r="A1002" s="29">
        <f t="shared" si="15"/>
        <v>339</v>
      </c>
      <c r="B1002" s="15">
        <v>833</v>
      </c>
      <c r="C1002" s="15">
        <v>6</v>
      </c>
      <c r="D1002" s="2">
        <v>1817</v>
      </c>
      <c r="E1002">
        <v>3341</v>
      </c>
      <c r="F1002" s="15"/>
      <c r="G1002" s="15"/>
      <c r="H1002" s="15" t="s">
        <v>1541</v>
      </c>
      <c r="I1002" s="15">
        <v>339</v>
      </c>
      <c r="J1002" s="15">
        <v>0</v>
      </c>
      <c r="K1002" s="15" t="s">
        <v>863</v>
      </c>
      <c r="L1002" s="43" t="s">
        <v>5774</v>
      </c>
      <c r="P1002" s="41">
        <v>7</v>
      </c>
      <c r="Q1002" s="41">
        <v>7</v>
      </c>
      <c r="R1002" s="41">
        <v>65</v>
      </c>
      <c r="S1002" t="s">
        <v>3321</v>
      </c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t="s">
        <v>359</v>
      </c>
    </row>
    <row r="1003" spans="1:34" ht="15">
      <c r="A1003" s="29">
        <f t="shared" si="15"/>
        <v>2500</v>
      </c>
      <c r="B1003" s="15">
        <v>833</v>
      </c>
      <c r="C1003" s="15">
        <v>6</v>
      </c>
      <c r="D1003" s="15">
        <v>1817</v>
      </c>
      <c r="E1003">
        <v>3342</v>
      </c>
      <c r="F1003" s="15"/>
      <c r="G1003" s="15"/>
      <c r="H1003" s="15" t="s">
        <v>1541</v>
      </c>
      <c r="I1003" s="15">
        <v>2500</v>
      </c>
      <c r="J1003" s="15">
        <v>0</v>
      </c>
      <c r="K1003" s="15" t="s">
        <v>863</v>
      </c>
      <c r="L1003" s="43" t="s">
        <v>6003</v>
      </c>
      <c r="P1003" s="41">
        <v>3</v>
      </c>
      <c r="Q1003" s="41">
        <v>5</v>
      </c>
      <c r="R1003" s="41">
        <v>37</v>
      </c>
      <c r="S1003" t="s">
        <v>3321</v>
      </c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t="s">
        <v>359</v>
      </c>
    </row>
    <row r="1004" spans="1:34" ht="15.75">
      <c r="A1004" s="29">
        <f t="shared" si="15"/>
        <v>333</v>
      </c>
      <c r="B1004" s="15">
        <v>833</v>
      </c>
      <c r="C1004" s="15">
        <v>6</v>
      </c>
      <c r="D1004" s="2">
        <v>1817</v>
      </c>
      <c r="E1004">
        <v>3343</v>
      </c>
      <c r="F1004" s="15"/>
      <c r="G1004" s="15"/>
      <c r="H1004" s="15" t="s">
        <v>1541</v>
      </c>
      <c r="I1004" s="15">
        <v>333</v>
      </c>
      <c r="J1004" s="15">
        <v>0</v>
      </c>
      <c r="K1004" s="15" t="s">
        <v>863</v>
      </c>
      <c r="L1004" s="43" t="s">
        <v>1323</v>
      </c>
      <c r="P1004" s="41">
        <v>24</v>
      </c>
      <c r="Q1004" s="41">
        <v>10</v>
      </c>
      <c r="R1004" s="41">
        <v>33</v>
      </c>
      <c r="S1004" t="s">
        <v>3321</v>
      </c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t="s">
        <v>359</v>
      </c>
    </row>
    <row r="1005" spans="1:34" ht="15.75">
      <c r="A1005" s="29">
        <f t="shared" si="15"/>
        <v>91</v>
      </c>
      <c r="B1005" s="15">
        <v>833</v>
      </c>
      <c r="C1005" s="15">
        <v>6</v>
      </c>
      <c r="D1005" s="2">
        <v>1817</v>
      </c>
      <c r="E1005">
        <v>3344</v>
      </c>
      <c r="F1005" s="15"/>
      <c r="G1005" s="15"/>
      <c r="H1005" s="15" t="s">
        <v>1541</v>
      </c>
      <c r="I1005" s="15">
        <v>91</v>
      </c>
      <c r="J1005" s="15">
        <v>0</v>
      </c>
      <c r="K1005" s="15" t="s">
        <v>863</v>
      </c>
      <c r="L1005" s="43" t="s">
        <v>6004</v>
      </c>
      <c r="P1005" s="41">
        <v>13</v>
      </c>
      <c r="Q1005" s="41">
        <v>8</v>
      </c>
      <c r="R1005" s="41">
        <v>52</v>
      </c>
      <c r="S1005" t="s">
        <v>3321</v>
      </c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t="s">
        <v>359</v>
      </c>
    </row>
    <row r="1006" spans="1:34" ht="15">
      <c r="A1006" s="29">
        <f t="shared" si="15"/>
        <v>4062</v>
      </c>
      <c r="B1006" s="15">
        <v>833</v>
      </c>
      <c r="C1006" s="15">
        <v>6</v>
      </c>
      <c r="D1006" s="15">
        <v>1817</v>
      </c>
      <c r="E1006">
        <v>3345</v>
      </c>
      <c r="F1006" s="15"/>
      <c r="G1006" s="15"/>
      <c r="H1006" s="15" t="s">
        <v>1541</v>
      </c>
      <c r="I1006" s="15">
        <v>4062</v>
      </c>
      <c r="J1006" s="15">
        <v>0</v>
      </c>
      <c r="K1006" s="15" t="s">
        <v>863</v>
      </c>
      <c r="L1006" s="43" t="s">
        <v>1308</v>
      </c>
      <c r="P1006" s="41">
        <v>18</v>
      </c>
      <c r="Q1006" s="41">
        <v>12</v>
      </c>
      <c r="R1006" s="41">
        <v>33</v>
      </c>
      <c r="S1006" t="s">
        <v>3321</v>
      </c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t="s">
        <v>359</v>
      </c>
    </row>
    <row r="1007" spans="1:34" ht="15.75">
      <c r="A1007" s="29">
        <f t="shared" si="15"/>
        <v>2839</v>
      </c>
      <c r="B1007" s="15">
        <v>834</v>
      </c>
      <c r="C1007" s="2">
        <v>6</v>
      </c>
      <c r="D1007" s="2">
        <v>1817</v>
      </c>
      <c r="E1007">
        <v>3398</v>
      </c>
      <c r="F1007" s="15"/>
      <c r="G1007" s="15"/>
      <c r="H1007" s="15" t="s">
        <v>850</v>
      </c>
      <c r="I1007" s="15">
        <v>2839</v>
      </c>
      <c r="J1007" s="15">
        <v>0</v>
      </c>
      <c r="K1007" s="15" t="s">
        <v>863</v>
      </c>
      <c r="L1007" s="43" t="s">
        <v>1311</v>
      </c>
      <c r="P1007" s="41">
        <v>8</v>
      </c>
      <c r="Q1007" s="41">
        <v>11</v>
      </c>
      <c r="R1007" s="41">
        <v>74</v>
      </c>
      <c r="S1007" s="15" t="s">
        <v>1547</v>
      </c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t="s">
        <v>359</v>
      </c>
    </row>
    <row r="1008" spans="1:34" ht="15.75">
      <c r="A1008" s="29">
        <f t="shared" si="15"/>
        <v>97</v>
      </c>
      <c r="B1008" s="15">
        <v>834</v>
      </c>
      <c r="C1008" s="15">
        <v>6</v>
      </c>
      <c r="D1008" s="2">
        <v>1817</v>
      </c>
      <c r="E1008">
        <v>3399</v>
      </c>
      <c r="F1008" s="15"/>
      <c r="G1008" s="15"/>
      <c r="H1008" s="15" t="s">
        <v>1541</v>
      </c>
      <c r="I1008" s="15">
        <v>97</v>
      </c>
      <c r="J1008" s="15">
        <v>0</v>
      </c>
      <c r="K1008" s="15" t="s">
        <v>863</v>
      </c>
      <c r="L1008" s="43" t="s">
        <v>6005</v>
      </c>
      <c r="P1008" s="41">
        <v>7</v>
      </c>
      <c r="Q1008" s="41">
        <v>10</v>
      </c>
      <c r="R1008" s="41">
        <v>46</v>
      </c>
      <c r="S1008" t="s">
        <v>3321</v>
      </c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t="s">
        <v>359</v>
      </c>
    </row>
    <row r="1009" spans="1:34" ht="15.75">
      <c r="A1009" s="29">
        <f t="shared" si="15"/>
        <v>16400</v>
      </c>
      <c r="B1009" s="15">
        <v>834</v>
      </c>
      <c r="C1009" s="15">
        <v>6</v>
      </c>
      <c r="D1009" s="2">
        <v>1817</v>
      </c>
      <c r="E1009">
        <v>3401</v>
      </c>
      <c r="F1009" s="15"/>
      <c r="G1009" s="15"/>
      <c r="H1009" s="15" t="s">
        <v>1541</v>
      </c>
      <c r="I1009" s="15">
        <v>0</v>
      </c>
      <c r="J1009" s="15">
        <v>1640</v>
      </c>
      <c r="K1009" s="15" t="s">
        <v>863</v>
      </c>
      <c r="L1009" s="43" t="s">
        <v>2358</v>
      </c>
      <c r="M1009" s="41" t="s">
        <v>2359</v>
      </c>
      <c r="O1009" s="41" t="s">
        <v>2360</v>
      </c>
      <c r="P1009" s="41">
        <v>16</v>
      </c>
      <c r="Q1009" s="41">
        <v>11</v>
      </c>
      <c r="R1009" s="41" t="s">
        <v>1547</v>
      </c>
      <c r="S1009" s="15" t="s">
        <v>2361</v>
      </c>
      <c r="T1009" s="15" t="s">
        <v>1263</v>
      </c>
      <c r="U1009" s="15"/>
      <c r="V1009" s="15" t="s">
        <v>2362</v>
      </c>
      <c r="W1009" s="15"/>
      <c r="X1009" s="15">
        <f>1/2</f>
        <v>0.5</v>
      </c>
      <c r="Y1009" s="15" t="s">
        <v>2363</v>
      </c>
      <c r="Z1009" s="15"/>
      <c r="AA1009" s="15"/>
      <c r="AB1009" s="15"/>
      <c r="AC1009" s="15"/>
      <c r="AD1009" s="15"/>
      <c r="AE1009" s="15"/>
      <c r="AF1009" s="15"/>
      <c r="AG1009" s="15"/>
      <c r="AH1009" t="s">
        <v>359</v>
      </c>
    </row>
    <row r="1010" spans="1:34" ht="15.75">
      <c r="A1010" s="29">
        <f t="shared" si="15"/>
        <v>80</v>
      </c>
      <c r="B1010" s="15">
        <v>835</v>
      </c>
      <c r="C1010" s="15">
        <v>6</v>
      </c>
      <c r="D1010" s="2">
        <v>1817</v>
      </c>
      <c r="E1010">
        <v>3435</v>
      </c>
      <c r="F1010" s="15"/>
      <c r="G1010" s="15"/>
      <c r="H1010" s="15" t="s">
        <v>1541</v>
      </c>
      <c r="I1010" s="15">
        <v>80</v>
      </c>
      <c r="J1010" s="15">
        <v>0</v>
      </c>
      <c r="K1010" s="15" t="s">
        <v>863</v>
      </c>
      <c r="L1010" s="43" t="s">
        <v>1004</v>
      </c>
      <c r="P1010" s="41">
        <v>17</v>
      </c>
      <c r="Q1010" s="41">
        <v>12</v>
      </c>
      <c r="R1010" s="41">
        <v>66</v>
      </c>
      <c r="S1010" t="s">
        <v>1547</v>
      </c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t="s">
        <v>359</v>
      </c>
    </row>
    <row r="1011" spans="1:34" ht="15.75">
      <c r="A1011" s="29">
        <f t="shared" si="15"/>
        <v>91</v>
      </c>
      <c r="B1011" s="15">
        <v>835</v>
      </c>
      <c r="C1011" s="15">
        <v>6</v>
      </c>
      <c r="D1011" s="2">
        <v>1817</v>
      </c>
      <c r="E1011">
        <v>3436</v>
      </c>
      <c r="F1011" s="15"/>
      <c r="G1011" s="15"/>
      <c r="H1011" s="15" t="s">
        <v>1540</v>
      </c>
      <c r="I1011" s="15">
        <v>91</v>
      </c>
      <c r="J1011" s="15">
        <v>0</v>
      </c>
      <c r="K1011" s="15" t="s">
        <v>863</v>
      </c>
      <c r="L1011" s="43" t="s">
        <v>1005</v>
      </c>
      <c r="P1011" s="41">
        <v>28</v>
      </c>
      <c r="Q1011" s="41">
        <v>9</v>
      </c>
      <c r="R1011" s="41">
        <v>31</v>
      </c>
      <c r="S1011" t="s">
        <v>3321</v>
      </c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t="s">
        <v>359</v>
      </c>
    </row>
    <row r="1012" spans="1:34" ht="15.75">
      <c r="A1012" s="29">
        <f t="shared" si="15"/>
        <v>34000</v>
      </c>
      <c r="B1012" s="15">
        <v>835</v>
      </c>
      <c r="C1012" s="15">
        <v>6</v>
      </c>
      <c r="D1012" s="2">
        <v>1817</v>
      </c>
      <c r="E1012">
        <v>3437</v>
      </c>
      <c r="F1012" s="15"/>
      <c r="G1012" s="15"/>
      <c r="H1012" s="15" t="s">
        <v>1540</v>
      </c>
      <c r="I1012" s="15">
        <v>0</v>
      </c>
      <c r="J1012" s="15">
        <v>6800</v>
      </c>
      <c r="K1012" s="15" t="s">
        <v>863</v>
      </c>
      <c r="L1012" s="43" t="s">
        <v>2364</v>
      </c>
      <c r="M1012" s="41" t="s">
        <v>2365</v>
      </c>
      <c r="N1012" s="41" t="s">
        <v>1545</v>
      </c>
      <c r="O1012" s="41" t="s">
        <v>2366</v>
      </c>
      <c r="P1012" s="41">
        <v>25</v>
      </c>
      <c r="Q1012" s="41">
        <v>6</v>
      </c>
      <c r="R1012" s="41">
        <v>68</v>
      </c>
      <c r="S1012" s="15" t="s">
        <v>2367</v>
      </c>
      <c r="T1012" s="15" t="s">
        <v>1274</v>
      </c>
      <c r="U1012" s="15"/>
      <c r="V1012" s="15" t="s">
        <v>2368</v>
      </c>
      <c r="W1012" s="15"/>
      <c r="X1012" s="15">
        <f>1/4</f>
        <v>0.25</v>
      </c>
      <c r="Y1012" s="15" t="s">
        <v>2366</v>
      </c>
      <c r="Z1012" s="15"/>
      <c r="AA1012" s="15" t="s">
        <v>2369</v>
      </c>
      <c r="AB1012" s="15"/>
      <c r="AC1012" s="15"/>
      <c r="AD1012" s="15"/>
      <c r="AE1012" s="15"/>
      <c r="AF1012" s="15"/>
      <c r="AG1012" s="15"/>
      <c r="AH1012" t="s">
        <v>359</v>
      </c>
    </row>
    <row r="1013" spans="1:34" ht="15.75">
      <c r="A1013" s="29">
        <f t="shared" si="15"/>
        <v>191</v>
      </c>
      <c r="B1013" s="15">
        <v>835</v>
      </c>
      <c r="C1013" s="15">
        <v>6</v>
      </c>
      <c r="D1013" s="2">
        <v>1817</v>
      </c>
      <c r="E1013">
        <v>3438</v>
      </c>
      <c r="F1013" s="15"/>
      <c r="G1013" s="15"/>
      <c r="H1013" s="15" t="s">
        <v>1540</v>
      </c>
      <c r="I1013" s="15">
        <v>191</v>
      </c>
      <c r="J1013" s="15">
        <v>0</v>
      </c>
      <c r="K1013" s="15" t="s">
        <v>863</v>
      </c>
      <c r="L1013" s="43" t="s">
        <v>2777</v>
      </c>
      <c r="P1013" s="41">
        <v>21</v>
      </c>
      <c r="Q1013" s="41">
        <v>4</v>
      </c>
      <c r="R1013" s="41">
        <v>62</v>
      </c>
      <c r="S1013" t="s">
        <v>3321</v>
      </c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t="s">
        <v>359</v>
      </c>
    </row>
    <row r="1014" spans="1:34" ht="15.75">
      <c r="A1014" s="29">
        <f t="shared" si="15"/>
        <v>9186</v>
      </c>
      <c r="B1014" s="15">
        <v>835</v>
      </c>
      <c r="C1014" s="15">
        <v>6</v>
      </c>
      <c r="D1014" s="2">
        <v>1817</v>
      </c>
      <c r="E1014">
        <v>3439</v>
      </c>
      <c r="F1014" s="15"/>
      <c r="G1014" s="15"/>
      <c r="H1014" s="15" t="s">
        <v>1541</v>
      </c>
      <c r="I1014" s="15">
        <v>9186</v>
      </c>
      <c r="J1014" s="15">
        <v>0</v>
      </c>
      <c r="K1014" s="15" t="s">
        <v>863</v>
      </c>
      <c r="L1014" s="43" t="s">
        <v>2370</v>
      </c>
      <c r="P1014" s="41">
        <v>23</v>
      </c>
      <c r="Q1014" s="41">
        <v>4</v>
      </c>
      <c r="R1014" s="41" t="s">
        <v>868</v>
      </c>
      <c r="S1014" t="s">
        <v>3321</v>
      </c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t="s">
        <v>359</v>
      </c>
    </row>
    <row r="1015" spans="1:34" ht="15.75">
      <c r="A1015" s="29">
        <f t="shared" si="15"/>
        <v>40575</v>
      </c>
      <c r="B1015" s="15">
        <v>836</v>
      </c>
      <c r="C1015" s="15">
        <v>6</v>
      </c>
      <c r="D1015" s="2">
        <v>1817</v>
      </c>
      <c r="E1015">
        <v>3480</v>
      </c>
      <c r="F1015" s="15"/>
      <c r="G1015" s="15"/>
      <c r="H1015" s="15" t="s">
        <v>1540</v>
      </c>
      <c r="I1015" s="15">
        <v>40575</v>
      </c>
      <c r="J1015" s="15">
        <v>0</v>
      </c>
      <c r="K1015" s="15" t="s">
        <v>884</v>
      </c>
      <c r="L1015" s="43" t="s">
        <v>2371</v>
      </c>
      <c r="M1015" s="41" t="s">
        <v>3159</v>
      </c>
      <c r="N1015" s="41" t="s">
        <v>2372</v>
      </c>
      <c r="O1015" s="41" t="s">
        <v>2373</v>
      </c>
      <c r="P1015" s="41">
        <v>21</v>
      </c>
      <c r="Q1015" s="41">
        <v>10</v>
      </c>
      <c r="R1015" s="41" t="s">
        <v>1547</v>
      </c>
      <c r="S1015" t="s">
        <v>3321</v>
      </c>
      <c r="T1015" s="15" t="s">
        <v>2374</v>
      </c>
      <c r="U1015" s="15"/>
      <c r="V1015" s="15" t="s">
        <v>4647</v>
      </c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t="s">
        <v>359</v>
      </c>
    </row>
    <row r="1016" spans="1:34" ht="15">
      <c r="A1016" s="29">
        <f t="shared" si="15"/>
        <v>2561</v>
      </c>
      <c r="B1016" s="15">
        <v>836</v>
      </c>
      <c r="C1016" s="15">
        <v>6</v>
      </c>
      <c r="D1016" s="15">
        <v>1817</v>
      </c>
      <c r="E1016">
        <v>3481</v>
      </c>
      <c r="F1016" s="15"/>
      <c r="G1016" s="15"/>
      <c r="H1016" s="15" t="s">
        <v>1541</v>
      </c>
      <c r="I1016" s="15">
        <f>1766+795</f>
        <v>2561</v>
      </c>
      <c r="J1016" s="15">
        <v>0</v>
      </c>
      <c r="K1016" s="15" t="s">
        <v>884</v>
      </c>
      <c r="L1016" s="43" t="s">
        <v>5704</v>
      </c>
      <c r="P1016" s="41">
        <v>13</v>
      </c>
      <c r="Q1016" s="41">
        <v>6</v>
      </c>
      <c r="R1016" s="41" t="s">
        <v>868</v>
      </c>
      <c r="S1016" t="s">
        <v>3321</v>
      </c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t="s">
        <v>359</v>
      </c>
    </row>
    <row r="1017" spans="1:34" ht="15.75">
      <c r="A1017" s="29">
        <f t="shared" si="15"/>
        <v>995</v>
      </c>
      <c r="B1017" s="15">
        <v>836</v>
      </c>
      <c r="C1017" s="15">
        <v>6</v>
      </c>
      <c r="D1017" s="2">
        <v>1817</v>
      </c>
      <c r="E1017">
        <v>3482</v>
      </c>
      <c r="F1017" s="15"/>
      <c r="G1017" s="15"/>
      <c r="H1017" s="15" t="s">
        <v>1541</v>
      </c>
      <c r="I1017" s="15">
        <v>395</v>
      </c>
      <c r="J1017" s="15">
        <v>30</v>
      </c>
      <c r="K1017" s="15" t="s">
        <v>884</v>
      </c>
      <c r="L1017" s="43" t="s">
        <v>2375</v>
      </c>
      <c r="P1017" s="41">
        <v>29</v>
      </c>
      <c r="Q1017" s="41">
        <v>4</v>
      </c>
      <c r="R1017" s="41">
        <v>44</v>
      </c>
      <c r="S1017" t="s">
        <v>3321</v>
      </c>
      <c r="T1017" s="15"/>
      <c r="U1017" s="15"/>
      <c r="V1017" s="15"/>
      <c r="W1017" s="15"/>
      <c r="X1017" s="15">
        <v>1</v>
      </c>
      <c r="Y1017" s="15" t="s">
        <v>2376</v>
      </c>
      <c r="Z1017" s="15"/>
      <c r="AA1017" s="15"/>
      <c r="AB1017" s="15"/>
      <c r="AC1017" s="15"/>
      <c r="AD1017" s="15"/>
      <c r="AE1017" s="15"/>
      <c r="AF1017" s="15"/>
      <c r="AG1017" s="15"/>
      <c r="AH1017" t="s">
        <v>359</v>
      </c>
    </row>
    <row r="1018" spans="1:34" ht="15.75">
      <c r="A1018" s="29">
        <f t="shared" si="15"/>
        <v>6146</v>
      </c>
      <c r="B1018" s="15">
        <v>836</v>
      </c>
      <c r="C1018" s="15">
        <v>6</v>
      </c>
      <c r="D1018" s="2">
        <v>1817</v>
      </c>
      <c r="E1018">
        <v>3483</v>
      </c>
      <c r="F1018" s="15"/>
      <c r="G1018" s="15"/>
      <c r="H1018" s="15" t="s">
        <v>1541</v>
      </c>
      <c r="I1018" s="15">
        <v>6146</v>
      </c>
      <c r="J1018" s="15">
        <v>0</v>
      </c>
      <c r="K1018" s="15" t="s">
        <v>884</v>
      </c>
      <c r="L1018" s="43" t="s">
        <v>2375</v>
      </c>
      <c r="P1018" s="41">
        <v>13</v>
      </c>
      <c r="Q1018" s="41">
        <v>6</v>
      </c>
      <c r="R1018" s="41">
        <v>58</v>
      </c>
      <c r="S1018" t="s">
        <v>3321</v>
      </c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t="s">
        <v>359</v>
      </c>
    </row>
    <row r="1019" spans="1:34" ht="15.75">
      <c r="A1019" s="29">
        <f t="shared" si="15"/>
        <v>29</v>
      </c>
      <c r="B1019" s="15">
        <v>837</v>
      </c>
      <c r="C1019" s="15">
        <v>6</v>
      </c>
      <c r="D1019" s="2">
        <v>1817</v>
      </c>
      <c r="E1019">
        <v>3520</v>
      </c>
      <c r="F1019" s="15"/>
      <c r="G1019" s="15"/>
      <c r="H1019" s="15" t="s">
        <v>1541</v>
      </c>
      <c r="I1019" s="15">
        <v>29</v>
      </c>
      <c r="J1019" s="15">
        <v>0</v>
      </c>
      <c r="K1019" s="15" t="s">
        <v>884</v>
      </c>
      <c r="L1019" s="43" t="s">
        <v>3641</v>
      </c>
      <c r="P1019" s="41">
        <v>29</v>
      </c>
      <c r="Q1019" s="41">
        <v>6</v>
      </c>
      <c r="R1019" s="41">
        <v>24</v>
      </c>
      <c r="S1019" s="15" t="s">
        <v>3329</v>
      </c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t="s">
        <v>359</v>
      </c>
    </row>
    <row r="1020" spans="1:34" ht="15.75">
      <c r="A1020" s="29">
        <f t="shared" si="15"/>
        <v>2621</v>
      </c>
      <c r="B1020" s="15">
        <v>837</v>
      </c>
      <c r="C1020" s="15">
        <v>6</v>
      </c>
      <c r="D1020" s="2">
        <v>1817</v>
      </c>
      <c r="E1020">
        <v>3521</v>
      </c>
      <c r="F1020" s="15"/>
      <c r="G1020" s="15"/>
      <c r="H1020" s="15" t="s">
        <v>1540</v>
      </c>
      <c r="I1020" s="15">
        <v>2621</v>
      </c>
      <c r="J1020" s="15">
        <v>0</v>
      </c>
      <c r="K1020" s="15" t="s">
        <v>884</v>
      </c>
      <c r="L1020" s="43" t="s">
        <v>3641</v>
      </c>
      <c r="P1020" s="41">
        <v>19</v>
      </c>
      <c r="Q1020" s="41">
        <v>9</v>
      </c>
      <c r="R1020" s="41">
        <v>37</v>
      </c>
      <c r="S1020" t="s">
        <v>3321</v>
      </c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t="s">
        <v>359</v>
      </c>
    </row>
    <row r="1021" spans="1:34" ht="15.75">
      <c r="A1021" s="29">
        <f t="shared" si="15"/>
        <v>2170</v>
      </c>
      <c r="B1021" s="15">
        <v>837</v>
      </c>
      <c r="C1021" s="2">
        <v>6</v>
      </c>
      <c r="D1021" s="2">
        <v>1817</v>
      </c>
      <c r="E1021">
        <v>3522</v>
      </c>
      <c r="F1021" s="15"/>
      <c r="G1021" s="15"/>
      <c r="H1021" s="15" t="s">
        <v>1549</v>
      </c>
      <c r="I1021" s="15">
        <v>2170</v>
      </c>
      <c r="J1021" s="15">
        <v>0</v>
      </c>
      <c r="K1021" s="15" t="s">
        <v>884</v>
      </c>
      <c r="L1021" s="43" t="s">
        <v>1331</v>
      </c>
      <c r="P1021" s="41">
        <v>29</v>
      </c>
      <c r="Q1021" s="41">
        <v>12</v>
      </c>
      <c r="R1021" s="41">
        <v>41</v>
      </c>
      <c r="S1021" t="s">
        <v>3321</v>
      </c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t="s">
        <v>359</v>
      </c>
    </row>
    <row r="1022" spans="1:34" ht="15.75">
      <c r="A1022" s="29">
        <f t="shared" si="15"/>
        <v>680</v>
      </c>
      <c r="B1022" s="15">
        <v>837</v>
      </c>
      <c r="C1022" s="15">
        <v>6</v>
      </c>
      <c r="D1022" s="2">
        <v>1817</v>
      </c>
      <c r="E1022">
        <v>3523</v>
      </c>
      <c r="F1022" s="15"/>
      <c r="G1022" s="15"/>
      <c r="H1022" s="15" t="s">
        <v>1541</v>
      </c>
      <c r="I1022" s="15">
        <v>680</v>
      </c>
      <c r="J1022" s="15">
        <v>0</v>
      </c>
      <c r="K1022" s="15" t="s">
        <v>884</v>
      </c>
      <c r="L1022" s="43" t="s">
        <v>1334</v>
      </c>
      <c r="P1022" s="41">
        <v>23</v>
      </c>
      <c r="Q1022" s="41">
        <v>12</v>
      </c>
      <c r="R1022" s="41" t="s">
        <v>868</v>
      </c>
      <c r="S1022" t="s">
        <v>3321</v>
      </c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t="s">
        <v>359</v>
      </c>
    </row>
    <row r="1023" spans="1:34" ht="15.75">
      <c r="A1023" s="29">
        <f t="shared" si="15"/>
        <v>230</v>
      </c>
      <c r="B1023" s="15">
        <v>837</v>
      </c>
      <c r="C1023" s="15">
        <v>6</v>
      </c>
      <c r="D1023" s="2">
        <v>1817</v>
      </c>
      <c r="E1023">
        <v>3524</v>
      </c>
      <c r="F1023" s="15"/>
      <c r="G1023" s="15"/>
      <c r="H1023" s="15" t="s">
        <v>1541</v>
      </c>
      <c r="I1023" s="15">
        <v>230</v>
      </c>
      <c r="J1023" s="15">
        <v>0</v>
      </c>
      <c r="K1023" s="15" t="s">
        <v>884</v>
      </c>
      <c r="L1023" s="43" t="s">
        <v>2377</v>
      </c>
      <c r="P1023" s="41">
        <v>23</v>
      </c>
      <c r="Q1023" s="41">
        <v>9</v>
      </c>
      <c r="R1023" s="41">
        <v>83</v>
      </c>
      <c r="S1023" t="s">
        <v>3321</v>
      </c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t="s">
        <v>359</v>
      </c>
    </row>
    <row r="1024" spans="1:34" ht="15.75">
      <c r="A1024" s="29">
        <f t="shared" si="15"/>
        <v>1981</v>
      </c>
      <c r="B1024" s="15">
        <v>837</v>
      </c>
      <c r="C1024" s="15">
        <v>6</v>
      </c>
      <c r="D1024" s="2">
        <v>1817</v>
      </c>
      <c r="E1024">
        <v>3525</v>
      </c>
      <c r="F1024" s="15"/>
      <c r="G1024" s="15"/>
      <c r="H1024" s="15" t="s">
        <v>1540</v>
      </c>
      <c r="I1024" s="15">
        <v>1981</v>
      </c>
      <c r="J1024" s="15">
        <v>0</v>
      </c>
      <c r="K1024" s="15" t="s">
        <v>884</v>
      </c>
      <c r="L1024" s="43" t="s">
        <v>1338</v>
      </c>
      <c r="P1024" s="41">
        <v>14</v>
      </c>
      <c r="Q1024" s="41">
        <v>10</v>
      </c>
      <c r="R1024" s="41" t="s">
        <v>868</v>
      </c>
      <c r="S1024" t="s">
        <v>3321</v>
      </c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t="s">
        <v>359</v>
      </c>
    </row>
    <row r="1025" spans="1:34" ht="15.75">
      <c r="A1025" s="29">
        <f t="shared" si="15"/>
        <v>119</v>
      </c>
      <c r="B1025" s="15">
        <v>837</v>
      </c>
      <c r="C1025" s="15">
        <v>6</v>
      </c>
      <c r="D1025" s="2">
        <v>1817</v>
      </c>
      <c r="E1025">
        <v>3526</v>
      </c>
      <c r="F1025" s="15"/>
      <c r="G1025" s="15"/>
      <c r="H1025" s="15" t="s">
        <v>1540</v>
      </c>
      <c r="I1025" s="15">
        <v>119</v>
      </c>
      <c r="J1025" s="15">
        <v>0</v>
      </c>
      <c r="K1025" s="15" t="s">
        <v>884</v>
      </c>
      <c r="L1025" s="43" t="s">
        <v>5779</v>
      </c>
      <c r="P1025" s="41">
        <v>3</v>
      </c>
      <c r="Q1025" s="41">
        <v>9</v>
      </c>
      <c r="R1025" s="41">
        <v>47</v>
      </c>
      <c r="S1025" t="s">
        <v>3321</v>
      </c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t="s">
        <v>359</v>
      </c>
    </row>
    <row r="1026" spans="1:34" ht="15.75">
      <c r="A1026" s="29">
        <f aca="true" t="shared" si="16" ref="A1026:A1089">I1026+J1026*20*X1026</f>
        <v>79</v>
      </c>
      <c r="B1026" s="15">
        <v>838</v>
      </c>
      <c r="C1026" s="15">
        <v>6</v>
      </c>
      <c r="D1026" s="2">
        <v>1817</v>
      </c>
      <c r="E1026">
        <v>3570</v>
      </c>
      <c r="F1026" s="15"/>
      <c r="G1026" s="15"/>
      <c r="H1026" s="15" t="s">
        <v>1540</v>
      </c>
      <c r="I1026" s="15">
        <v>79</v>
      </c>
      <c r="J1026" s="15">
        <v>0</v>
      </c>
      <c r="K1026" s="15" t="s">
        <v>884</v>
      </c>
      <c r="L1026" s="43" t="s">
        <v>1328</v>
      </c>
      <c r="P1026" s="41">
        <v>20</v>
      </c>
      <c r="Q1026" s="41">
        <v>8</v>
      </c>
      <c r="R1026" s="41" t="s">
        <v>868</v>
      </c>
      <c r="S1026" t="s">
        <v>1547</v>
      </c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t="s">
        <v>359</v>
      </c>
    </row>
    <row r="1027" spans="1:34" ht="15.75">
      <c r="A1027" s="29">
        <f t="shared" si="16"/>
        <v>990</v>
      </c>
      <c r="B1027" s="15">
        <v>838</v>
      </c>
      <c r="C1027" s="15">
        <v>6</v>
      </c>
      <c r="D1027" s="2">
        <v>1817</v>
      </c>
      <c r="E1027">
        <v>3571</v>
      </c>
      <c r="F1027" s="15"/>
      <c r="G1027" s="15"/>
      <c r="H1027" s="15" t="s">
        <v>1540</v>
      </c>
      <c r="I1027" s="15">
        <f>978+12</f>
        <v>990</v>
      </c>
      <c r="J1027" s="15">
        <v>0</v>
      </c>
      <c r="K1027" s="15" t="s">
        <v>884</v>
      </c>
      <c r="L1027" s="43" t="s">
        <v>1328</v>
      </c>
      <c r="P1027" s="41">
        <v>8</v>
      </c>
      <c r="Q1027" s="41">
        <v>6</v>
      </c>
      <c r="R1027" s="41">
        <v>44</v>
      </c>
      <c r="S1027" t="s">
        <v>3321</v>
      </c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t="s">
        <v>359</v>
      </c>
    </row>
    <row r="1028" spans="1:34" ht="15.75">
      <c r="A1028" s="29">
        <f t="shared" si="16"/>
        <v>10826</v>
      </c>
      <c r="B1028" s="15">
        <v>838</v>
      </c>
      <c r="C1028" s="15">
        <v>6</v>
      </c>
      <c r="D1028" s="2">
        <v>1817</v>
      </c>
      <c r="E1028">
        <v>3572</v>
      </c>
      <c r="F1028" s="15"/>
      <c r="G1028" s="15"/>
      <c r="H1028" s="15" t="s">
        <v>1540</v>
      </c>
      <c r="I1028" s="15">
        <v>10826</v>
      </c>
      <c r="J1028" s="15">
        <v>0</v>
      </c>
      <c r="K1028" s="15" t="s">
        <v>884</v>
      </c>
      <c r="L1028" s="43" t="s">
        <v>3654</v>
      </c>
      <c r="P1028" s="41">
        <v>17</v>
      </c>
      <c r="Q1028" s="41">
        <v>3</v>
      </c>
      <c r="R1028" s="41">
        <v>59</v>
      </c>
      <c r="S1028" s="15" t="s">
        <v>1547</v>
      </c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t="s">
        <v>359</v>
      </c>
    </row>
    <row r="1029" spans="1:34" ht="15.75">
      <c r="A1029" s="29">
        <f t="shared" si="16"/>
        <v>388</v>
      </c>
      <c r="B1029" s="15">
        <v>838</v>
      </c>
      <c r="C1029" s="15">
        <v>6</v>
      </c>
      <c r="D1029" s="2">
        <v>1817</v>
      </c>
      <c r="E1029">
        <v>3573</v>
      </c>
      <c r="F1029" s="15"/>
      <c r="G1029" s="15"/>
      <c r="H1029" s="15" t="s">
        <v>1540</v>
      </c>
      <c r="I1029" s="15">
        <v>388</v>
      </c>
      <c r="J1029" s="15">
        <v>0</v>
      </c>
      <c r="K1029" s="15" t="s">
        <v>884</v>
      </c>
      <c r="L1029" s="43" t="s">
        <v>5782</v>
      </c>
      <c r="P1029" s="41">
        <v>11</v>
      </c>
      <c r="Q1029" s="41">
        <v>8</v>
      </c>
      <c r="R1029" s="41">
        <v>61</v>
      </c>
      <c r="S1029" t="s">
        <v>3321</v>
      </c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t="s">
        <v>359</v>
      </c>
    </row>
    <row r="1030" spans="1:34" ht="15.75">
      <c r="A1030" s="29">
        <f t="shared" si="16"/>
        <v>322</v>
      </c>
      <c r="B1030" s="15">
        <v>838</v>
      </c>
      <c r="C1030" s="15">
        <v>6</v>
      </c>
      <c r="D1030" s="2">
        <v>1817</v>
      </c>
      <c r="E1030">
        <v>3574</v>
      </c>
      <c r="F1030" s="15"/>
      <c r="G1030" s="15"/>
      <c r="H1030" s="15" t="s">
        <v>1541</v>
      </c>
      <c r="I1030" s="15">
        <v>322</v>
      </c>
      <c r="J1030" s="15">
        <v>0</v>
      </c>
      <c r="K1030" s="15" t="s">
        <v>884</v>
      </c>
      <c r="L1030" s="43" t="s">
        <v>2378</v>
      </c>
      <c r="P1030" s="41">
        <v>6</v>
      </c>
      <c r="Q1030" s="41">
        <v>10</v>
      </c>
      <c r="R1030" s="41" t="s">
        <v>868</v>
      </c>
      <c r="S1030" t="s">
        <v>1547</v>
      </c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t="s">
        <v>359</v>
      </c>
    </row>
    <row r="1031" spans="1:34" ht="15.75">
      <c r="A1031" s="29">
        <f t="shared" si="16"/>
        <v>89</v>
      </c>
      <c r="B1031" s="15">
        <v>838</v>
      </c>
      <c r="C1031" s="15">
        <v>6</v>
      </c>
      <c r="D1031" s="2">
        <v>1817</v>
      </c>
      <c r="E1031">
        <v>3575</v>
      </c>
      <c r="F1031" s="15"/>
      <c r="G1031" s="15"/>
      <c r="H1031" s="15" t="s">
        <v>1541</v>
      </c>
      <c r="I1031" s="15">
        <v>89</v>
      </c>
      <c r="J1031" s="15">
        <v>0</v>
      </c>
      <c r="K1031" s="15" t="s">
        <v>884</v>
      </c>
      <c r="L1031" s="43" t="s">
        <v>5785</v>
      </c>
      <c r="P1031" s="41">
        <v>23</v>
      </c>
      <c r="Q1031" s="41">
        <v>9</v>
      </c>
      <c r="R1031" s="41">
        <v>36</v>
      </c>
      <c r="S1031" t="s">
        <v>3321</v>
      </c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t="s">
        <v>359</v>
      </c>
    </row>
    <row r="1032" spans="1:34" ht="15.75">
      <c r="A1032" s="29">
        <f t="shared" si="16"/>
        <v>400</v>
      </c>
      <c r="B1032" s="15">
        <v>838</v>
      </c>
      <c r="C1032" s="15">
        <v>6</v>
      </c>
      <c r="D1032" s="2">
        <v>1817</v>
      </c>
      <c r="E1032">
        <v>3576</v>
      </c>
      <c r="F1032" s="15"/>
      <c r="G1032" s="15"/>
      <c r="H1032" s="15" t="s">
        <v>1540</v>
      </c>
      <c r="I1032" s="15">
        <v>400</v>
      </c>
      <c r="J1032" s="15">
        <v>0</v>
      </c>
      <c r="K1032" s="15" t="s">
        <v>884</v>
      </c>
      <c r="L1032" s="43" t="s">
        <v>2379</v>
      </c>
      <c r="P1032" s="41">
        <v>25</v>
      </c>
      <c r="Q1032" s="41">
        <v>1</v>
      </c>
      <c r="R1032" s="41" t="s">
        <v>868</v>
      </c>
      <c r="S1032" t="s">
        <v>1547</v>
      </c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t="s">
        <v>359</v>
      </c>
    </row>
    <row r="1033" spans="1:34" ht="15.75">
      <c r="A1033" s="29">
        <f t="shared" si="16"/>
        <v>14394</v>
      </c>
      <c r="B1033" s="15">
        <v>839</v>
      </c>
      <c r="C1033" s="2">
        <v>6</v>
      </c>
      <c r="D1033" s="2">
        <v>1817</v>
      </c>
      <c r="E1033">
        <v>3614</v>
      </c>
      <c r="F1033" s="15"/>
      <c r="G1033" s="15"/>
      <c r="H1033" s="15" t="s">
        <v>850</v>
      </c>
      <c r="I1033" s="15">
        <v>14394</v>
      </c>
      <c r="J1033" s="15">
        <v>0</v>
      </c>
      <c r="K1033" s="15" t="s">
        <v>884</v>
      </c>
      <c r="L1033" s="43" t="s">
        <v>2941</v>
      </c>
      <c r="P1033" s="41">
        <v>10</v>
      </c>
      <c r="Q1033" s="41">
        <v>10</v>
      </c>
      <c r="R1033" s="41" t="s">
        <v>868</v>
      </c>
      <c r="S1033" s="15" t="s">
        <v>1547</v>
      </c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t="s">
        <v>359</v>
      </c>
    </row>
    <row r="1034" spans="1:34" ht="15.75">
      <c r="A1034" s="29">
        <f t="shared" si="16"/>
        <v>226</v>
      </c>
      <c r="B1034" s="15">
        <v>839</v>
      </c>
      <c r="C1034" s="2">
        <v>6</v>
      </c>
      <c r="D1034" s="2">
        <v>1817</v>
      </c>
      <c r="E1034">
        <v>3615</v>
      </c>
      <c r="F1034" s="15"/>
      <c r="G1034" s="15"/>
      <c r="H1034" s="15" t="s">
        <v>850</v>
      </c>
      <c r="I1034" s="15">
        <v>226</v>
      </c>
      <c r="J1034" s="15">
        <v>0</v>
      </c>
      <c r="K1034" s="15" t="s">
        <v>5699</v>
      </c>
      <c r="L1034" s="43" t="s">
        <v>5709</v>
      </c>
      <c r="P1034" s="41">
        <v>6</v>
      </c>
      <c r="Q1034" s="41">
        <v>11</v>
      </c>
      <c r="R1034" s="41">
        <v>72</v>
      </c>
      <c r="S1034" s="15" t="s">
        <v>1547</v>
      </c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t="s">
        <v>359</v>
      </c>
    </row>
    <row r="1035" spans="1:34" ht="15.75">
      <c r="A1035" s="29">
        <f t="shared" si="16"/>
        <v>12937</v>
      </c>
      <c r="B1035" s="15">
        <v>839</v>
      </c>
      <c r="C1035" s="2">
        <v>6</v>
      </c>
      <c r="D1035" s="2">
        <v>1817</v>
      </c>
      <c r="E1035">
        <v>3616</v>
      </c>
      <c r="F1035" s="15"/>
      <c r="G1035" s="15"/>
      <c r="H1035" s="15" t="s">
        <v>1549</v>
      </c>
      <c r="I1035" s="15">
        <v>537</v>
      </c>
      <c r="J1035" s="15">
        <v>620</v>
      </c>
      <c r="K1035" s="15" t="s">
        <v>884</v>
      </c>
      <c r="L1035" s="43" t="s">
        <v>1337</v>
      </c>
      <c r="P1035" s="41">
        <v>6</v>
      </c>
      <c r="Q1035" s="41">
        <v>8</v>
      </c>
      <c r="R1035" s="41">
        <v>55</v>
      </c>
      <c r="S1035" t="s">
        <v>3321</v>
      </c>
      <c r="T1035" s="15"/>
      <c r="U1035" s="15"/>
      <c r="V1035" s="15"/>
      <c r="W1035" s="15"/>
      <c r="X1035" s="15">
        <v>1</v>
      </c>
      <c r="Y1035" s="15" t="s">
        <v>2380</v>
      </c>
      <c r="Z1035" s="15"/>
      <c r="AA1035" s="15"/>
      <c r="AB1035" s="15"/>
      <c r="AC1035" s="15"/>
      <c r="AD1035" s="15"/>
      <c r="AE1035" s="15"/>
      <c r="AF1035" s="15"/>
      <c r="AG1035" s="15"/>
      <c r="AH1035" t="s">
        <v>359</v>
      </c>
    </row>
    <row r="1036" spans="1:34" ht="15.75">
      <c r="A1036" s="29">
        <f t="shared" si="16"/>
        <v>81779</v>
      </c>
      <c r="B1036" s="15">
        <v>839</v>
      </c>
      <c r="C1036" s="2">
        <v>6</v>
      </c>
      <c r="D1036" s="2">
        <v>1817</v>
      </c>
      <c r="E1036">
        <v>3617</v>
      </c>
      <c r="F1036" s="15"/>
      <c r="G1036" s="15"/>
      <c r="H1036" s="15" t="s">
        <v>1549</v>
      </c>
      <c r="I1036" s="15">
        <v>81779</v>
      </c>
      <c r="J1036" s="15">
        <v>0</v>
      </c>
      <c r="K1036" s="15" t="s">
        <v>884</v>
      </c>
      <c r="L1036" s="43" t="s">
        <v>2381</v>
      </c>
      <c r="M1036" s="41" t="s">
        <v>2382</v>
      </c>
      <c r="N1036" s="41" t="s">
        <v>2383</v>
      </c>
      <c r="O1036" s="41" t="s">
        <v>2384</v>
      </c>
      <c r="P1036" s="41">
        <v>9</v>
      </c>
      <c r="Q1036" s="41">
        <v>12</v>
      </c>
      <c r="R1036" s="41">
        <v>34</v>
      </c>
      <c r="S1036" s="15" t="s">
        <v>1547</v>
      </c>
      <c r="T1036" s="15" t="s">
        <v>969</v>
      </c>
      <c r="U1036" s="15"/>
      <c r="V1036" s="15" t="s">
        <v>2385</v>
      </c>
      <c r="W1036" s="15" t="s">
        <v>999</v>
      </c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t="s">
        <v>359</v>
      </c>
    </row>
    <row r="1037" spans="1:34" ht="15.75">
      <c r="A1037" s="29">
        <f t="shared" si="16"/>
        <v>2229</v>
      </c>
      <c r="B1037" s="15">
        <v>839</v>
      </c>
      <c r="C1037" s="2">
        <v>6</v>
      </c>
      <c r="D1037" s="2">
        <v>1817</v>
      </c>
      <c r="E1037">
        <v>3618</v>
      </c>
      <c r="F1037" s="15"/>
      <c r="G1037" s="15"/>
      <c r="H1037" s="15" t="s">
        <v>1549</v>
      </c>
      <c r="I1037" s="15">
        <v>2229</v>
      </c>
      <c r="J1037" s="15">
        <v>0</v>
      </c>
      <c r="K1037" s="15" t="s">
        <v>884</v>
      </c>
      <c r="L1037" s="43" t="s">
        <v>3657</v>
      </c>
      <c r="P1037" s="41">
        <v>22</v>
      </c>
      <c r="Q1037" s="41">
        <v>8</v>
      </c>
      <c r="R1037" s="41" t="s">
        <v>868</v>
      </c>
      <c r="S1037" t="s">
        <v>3321</v>
      </c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t="s">
        <v>359</v>
      </c>
    </row>
    <row r="1038" spans="1:34" ht="15.75">
      <c r="A1038" s="29">
        <f t="shared" si="16"/>
        <v>38</v>
      </c>
      <c r="B1038" s="15">
        <v>840</v>
      </c>
      <c r="C1038" s="15">
        <v>6</v>
      </c>
      <c r="D1038" s="2">
        <v>1817</v>
      </c>
      <c r="E1038">
        <v>3619</v>
      </c>
      <c r="F1038" s="15"/>
      <c r="G1038" s="15"/>
      <c r="H1038" s="15" t="s">
        <v>1541</v>
      </c>
      <c r="I1038" s="15">
        <v>38</v>
      </c>
      <c r="J1038" s="15">
        <v>0</v>
      </c>
      <c r="K1038" s="15" t="s">
        <v>884</v>
      </c>
      <c r="L1038" s="43" t="s">
        <v>5712</v>
      </c>
      <c r="P1038" s="41">
        <v>20</v>
      </c>
      <c r="Q1038" s="41">
        <v>2</v>
      </c>
      <c r="R1038" s="41">
        <v>49</v>
      </c>
      <c r="S1038" t="s">
        <v>3321</v>
      </c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t="s">
        <v>359</v>
      </c>
    </row>
    <row r="1039" spans="1:34" ht="15.75">
      <c r="A1039" s="29">
        <f t="shared" si="16"/>
        <v>780</v>
      </c>
      <c r="B1039" s="15">
        <v>840</v>
      </c>
      <c r="C1039" s="2">
        <v>6</v>
      </c>
      <c r="D1039" s="2">
        <v>1817</v>
      </c>
      <c r="E1039">
        <v>3620</v>
      </c>
      <c r="F1039" s="15"/>
      <c r="G1039" s="15"/>
      <c r="H1039" s="15" t="s">
        <v>1549</v>
      </c>
      <c r="I1039" s="15">
        <v>780</v>
      </c>
      <c r="J1039" s="15">
        <v>0</v>
      </c>
      <c r="K1039" s="15" t="s">
        <v>884</v>
      </c>
      <c r="L1039" s="43" t="s">
        <v>2386</v>
      </c>
      <c r="P1039" s="41">
        <v>30</v>
      </c>
      <c r="Q1039" s="41">
        <v>6</v>
      </c>
      <c r="R1039" s="41">
        <v>22</v>
      </c>
      <c r="S1039" s="15" t="s">
        <v>1547</v>
      </c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t="s">
        <v>359</v>
      </c>
    </row>
    <row r="1040" spans="1:34" ht="15.75">
      <c r="A1040" s="29">
        <f t="shared" si="16"/>
        <v>339</v>
      </c>
      <c r="B1040" s="15">
        <v>840</v>
      </c>
      <c r="C1040" s="15">
        <v>6</v>
      </c>
      <c r="D1040" s="2">
        <v>1817</v>
      </c>
      <c r="E1040">
        <v>3621</v>
      </c>
      <c r="F1040" s="15"/>
      <c r="G1040" s="15"/>
      <c r="H1040" s="15" t="s">
        <v>1540</v>
      </c>
      <c r="I1040" s="15">
        <v>339</v>
      </c>
      <c r="J1040" s="15">
        <v>0</v>
      </c>
      <c r="K1040" s="15" t="s">
        <v>884</v>
      </c>
      <c r="L1040" s="43" t="s">
        <v>5713</v>
      </c>
      <c r="P1040" s="41">
        <v>5</v>
      </c>
      <c r="Q1040" s="41">
        <v>12</v>
      </c>
      <c r="R1040" s="41">
        <v>62</v>
      </c>
      <c r="S1040" s="15" t="s">
        <v>3329</v>
      </c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t="s">
        <v>359</v>
      </c>
    </row>
    <row r="1041" spans="1:34" ht="15.75">
      <c r="A1041" s="29">
        <f t="shared" si="16"/>
        <v>410</v>
      </c>
      <c r="B1041" s="15">
        <v>840</v>
      </c>
      <c r="C1041" s="15">
        <v>6</v>
      </c>
      <c r="D1041" s="2">
        <v>1817</v>
      </c>
      <c r="E1041">
        <v>3622</v>
      </c>
      <c r="F1041" s="15"/>
      <c r="G1041" s="15"/>
      <c r="H1041" s="15" t="s">
        <v>1541</v>
      </c>
      <c r="I1041" s="15">
        <v>410</v>
      </c>
      <c r="J1041" s="15">
        <v>0</v>
      </c>
      <c r="K1041" s="15" t="s">
        <v>884</v>
      </c>
      <c r="L1041" s="43" t="s">
        <v>5714</v>
      </c>
      <c r="P1041" s="41">
        <v>26</v>
      </c>
      <c r="Q1041" s="41">
        <v>12</v>
      </c>
      <c r="R1041" s="41" t="s">
        <v>868</v>
      </c>
      <c r="S1041" t="s">
        <v>3321</v>
      </c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t="s">
        <v>359</v>
      </c>
    </row>
    <row r="1042" spans="1:34" ht="15.75">
      <c r="A1042" s="29">
        <f t="shared" si="16"/>
        <v>14440</v>
      </c>
      <c r="B1042" s="15">
        <v>841</v>
      </c>
      <c r="C1042" s="15">
        <v>6</v>
      </c>
      <c r="D1042" s="2">
        <v>1817</v>
      </c>
      <c r="E1042">
        <v>3661</v>
      </c>
      <c r="F1042" s="15"/>
      <c r="G1042" s="15"/>
      <c r="H1042" s="15" t="s">
        <v>1540</v>
      </c>
      <c r="I1042" s="15">
        <v>0</v>
      </c>
      <c r="J1042" s="15">
        <v>722</v>
      </c>
      <c r="K1042" s="15" t="s">
        <v>884</v>
      </c>
      <c r="L1042" s="43" t="s">
        <v>2387</v>
      </c>
      <c r="P1042" s="41">
        <v>5</v>
      </c>
      <c r="Q1042" s="41">
        <v>8</v>
      </c>
      <c r="R1042" s="41" t="s">
        <v>1547</v>
      </c>
      <c r="S1042" s="15" t="s">
        <v>1547</v>
      </c>
      <c r="T1042" s="15"/>
      <c r="U1042" s="15"/>
      <c r="V1042" s="15"/>
      <c r="W1042" s="15"/>
      <c r="X1042" s="15">
        <v>1</v>
      </c>
      <c r="Y1042" s="15" t="s">
        <v>2388</v>
      </c>
      <c r="Z1042" s="15"/>
      <c r="AA1042" s="15"/>
      <c r="AB1042" s="15"/>
      <c r="AC1042" s="15"/>
      <c r="AD1042" s="15"/>
      <c r="AE1042" s="15"/>
      <c r="AF1042" s="15"/>
      <c r="AG1042" s="15"/>
      <c r="AH1042" t="s">
        <v>359</v>
      </c>
    </row>
    <row r="1043" spans="1:34" ht="15.75">
      <c r="A1043" s="29">
        <f t="shared" si="16"/>
        <v>63000</v>
      </c>
      <c r="B1043" s="15">
        <v>841</v>
      </c>
      <c r="C1043" s="15">
        <v>6</v>
      </c>
      <c r="D1043" s="2">
        <v>1817</v>
      </c>
      <c r="E1043">
        <v>3662</v>
      </c>
      <c r="F1043" s="15"/>
      <c r="G1043" s="15"/>
      <c r="H1043" s="15" t="s">
        <v>1541</v>
      </c>
      <c r="I1043" s="15">
        <v>63000</v>
      </c>
      <c r="J1043" s="15">
        <v>0</v>
      </c>
      <c r="K1043" s="15" t="s">
        <v>884</v>
      </c>
      <c r="L1043" s="43" t="s">
        <v>2389</v>
      </c>
      <c r="M1043" s="41" t="s">
        <v>2390</v>
      </c>
      <c r="N1043" s="41" t="s">
        <v>5767</v>
      </c>
      <c r="O1043" s="41" t="s">
        <v>2391</v>
      </c>
      <c r="P1043" s="41">
        <v>9</v>
      </c>
      <c r="Q1043" s="41">
        <v>11</v>
      </c>
      <c r="S1043" s="15" t="s">
        <v>847</v>
      </c>
      <c r="T1043" s="15" t="s">
        <v>2392</v>
      </c>
      <c r="U1043" s="15"/>
      <c r="V1043" s="15" t="s">
        <v>2393</v>
      </c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t="s">
        <v>359</v>
      </c>
    </row>
    <row r="1044" spans="1:34" ht="15.75">
      <c r="A1044" s="29">
        <f t="shared" si="16"/>
        <v>12660</v>
      </c>
      <c r="B1044" s="15">
        <v>841</v>
      </c>
      <c r="C1044" s="15">
        <v>6</v>
      </c>
      <c r="D1044" s="2">
        <v>1817</v>
      </c>
      <c r="E1044">
        <v>3663</v>
      </c>
      <c r="F1044" s="15"/>
      <c r="G1044" s="15"/>
      <c r="H1044" s="15" t="s">
        <v>1540</v>
      </c>
      <c r="I1044" s="15">
        <v>0</v>
      </c>
      <c r="J1044" s="15">
        <v>633</v>
      </c>
      <c r="K1044" s="15" t="s">
        <v>884</v>
      </c>
      <c r="L1044" s="43" t="s">
        <v>3638</v>
      </c>
      <c r="P1044" s="41">
        <v>22</v>
      </c>
      <c r="Q1044" s="41">
        <v>8</v>
      </c>
      <c r="R1044" s="41" t="s">
        <v>868</v>
      </c>
      <c r="S1044" t="s">
        <v>1547</v>
      </c>
      <c r="T1044" s="15"/>
      <c r="U1044" s="15"/>
      <c r="V1044" s="15"/>
      <c r="W1044" s="15"/>
      <c r="X1044" s="15">
        <v>1</v>
      </c>
      <c r="Y1044" s="15" t="s">
        <v>2394</v>
      </c>
      <c r="Z1044" s="15"/>
      <c r="AA1044" s="15"/>
      <c r="AB1044" s="15"/>
      <c r="AC1044" s="15"/>
      <c r="AD1044" s="15"/>
      <c r="AE1044" s="15"/>
      <c r="AF1044" s="15"/>
      <c r="AG1044" s="15"/>
      <c r="AH1044" t="s">
        <v>359</v>
      </c>
    </row>
    <row r="1045" spans="1:34" ht="15.75">
      <c r="A1045" s="29">
        <f t="shared" si="16"/>
        <v>8000</v>
      </c>
      <c r="B1045" s="15">
        <v>841</v>
      </c>
      <c r="C1045" s="15">
        <v>6</v>
      </c>
      <c r="D1045" s="2">
        <v>1817</v>
      </c>
      <c r="E1045">
        <v>3664</v>
      </c>
      <c r="F1045" s="15"/>
      <c r="G1045" s="15"/>
      <c r="H1045" s="15" t="s">
        <v>1541</v>
      </c>
      <c r="I1045" s="15">
        <v>8000</v>
      </c>
      <c r="J1045" s="15">
        <v>0</v>
      </c>
      <c r="K1045" s="15" t="s">
        <v>884</v>
      </c>
      <c r="L1045" s="43" t="s">
        <v>3638</v>
      </c>
      <c r="P1045" s="41">
        <v>20</v>
      </c>
      <c r="Q1045" s="41">
        <v>11</v>
      </c>
      <c r="R1045" s="41" t="s">
        <v>868</v>
      </c>
      <c r="S1045" t="s">
        <v>3321</v>
      </c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t="s">
        <v>359</v>
      </c>
    </row>
    <row r="1046" spans="1:34" ht="15.75">
      <c r="A1046" s="29">
        <f t="shared" si="16"/>
        <v>64000</v>
      </c>
      <c r="B1046" s="15">
        <v>841</v>
      </c>
      <c r="C1046" s="15">
        <v>6</v>
      </c>
      <c r="D1046" s="2">
        <v>1817</v>
      </c>
      <c r="E1046">
        <v>3665</v>
      </c>
      <c r="F1046" s="15"/>
      <c r="G1046" s="15"/>
      <c r="H1046" s="15" t="s">
        <v>1540</v>
      </c>
      <c r="I1046" s="15">
        <v>0</v>
      </c>
      <c r="J1046" s="15">
        <v>3200</v>
      </c>
      <c r="K1046" s="15" t="s">
        <v>884</v>
      </c>
      <c r="L1046" s="43" t="s">
        <v>3115</v>
      </c>
      <c r="M1046" s="41" t="s">
        <v>1275</v>
      </c>
      <c r="N1046" s="41" t="s">
        <v>851</v>
      </c>
      <c r="O1046" s="41" t="s">
        <v>1276</v>
      </c>
      <c r="P1046" s="41">
        <v>8</v>
      </c>
      <c r="Q1046" s="41">
        <v>8</v>
      </c>
      <c r="S1046" s="15" t="s">
        <v>1547</v>
      </c>
      <c r="T1046" t="s">
        <v>1274</v>
      </c>
      <c r="U1046" t="s">
        <v>1276</v>
      </c>
      <c r="V1046" s="15" t="s">
        <v>899</v>
      </c>
      <c r="W1046" s="15"/>
      <c r="X1046" s="15">
        <v>1</v>
      </c>
      <c r="Y1046" s="15" t="s">
        <v>2395</v>
      </c>
      <c r="Z1046" s="15"/>
      <c r="AA1046" s="15"/>
      <c r="AB1046" s="15"/>
      <c r="AC1046" s="15"/>
      <c r="AD1046" s="15"/>
      <c r="AE1046" s="15"/>
      <c r="AF1046" s="15"/>
      <c r="AG1046" s="15"/>
      <c r="AH1046" t="s">
        <v>359</v>
      </c>
    </row>
    <row r="1047" spans="1:34" ht="15.75">
      <c r="A1047" s="29">
        <f t="shared" si="16"/>
        <v>744</v>
      </c>
      <c r="B1047" s="15">
        <v>841</v>
      </c>
      <c r="C1047" s="15">
        <v>6</v>
      </c>
      <c r="D1047" s="2">
        <v>1817</v>
      </c>
      <c r="E1047">
        <v>3666</v>
      </c>
      <c r="F1047" s="15"/>
      <c r="G1047" s="15"/>
      <c r="H1047" s="15" t="s">
        <v>1540</v>
      </c>
      <c r="I1047" s="15">
        <v>744</v>
      </c>
      <c r="J1047" s="15">
        <v>0</v>
      </c>
      <c r="K1047" s="15" t="s">
        <v>884</v>
      </c>
      <c r="L1047" s="43" t="s">
        <v>2396</v>
      </c>
      <c r="P1047" s="41">
        <v>25</v>
      </c>
      <c r="Q1047" s="41">
        <v>10</v>
      </c>
      <c r="R1047" s="41" t="s">
        <v>868</v>
      </c>
      <c r="S1047" t="s">
        <v>3321</v>
      </c>
      <c r="T1047" s="15"/>
      <c r="U1047" s="15" t="s">
        <v>2397</v>
      </c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t="s">
        <v>359</v>
      </c>
    </row>
    <row r="1048" spans="1:34" ht="15.75">
      <c r="A1048" s="29">
        <f t="shared" si="16"/>
        <v>2400</v>
      </c>
      <c r="B1048" s="15">
        <v>841</v>
      </c>
      <c r="C1048" s="15">
        <v>6</v>
      </c>
      <c r="D1048" s="2">
        <v>1817</v>
      </c>
      <c r="E1048">
        <v>3667</v>
      </c>
      <c r="F1048" s="15"/>
      <c r="G1048" s="15"/>
      <c r="H1048" s="15" t="s">
        <v>1540</v>
      </c>
      <c r="I1048" s="15">
        <v>2400</v>
      </c>
      <c r="J1048" s="15">
        <v>0</v>
      </c>
      <c r="K1048" s="30" t="s">
        <v>864</v>
      </c>
      <c r="L1048" s="43" t="s">
        <v>5717</v>
      </c>
      <c r="P1048" s="41">
        <v>8</v>
      </c>
      <c r="Q1048" s="41">
        <v>12</v>
      </c>
      <c r="R1048" s="41">
        <v>38</v>
      </c>
      <c r="S1048" t="s">
        <v>3321</v>
      </c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t="s">
        <v>359</v>
      </c>
    </row>
    <row r="1049" spans="1:34" ht="15.75">
      <c r="A1049" s="29">
        <f t="shared" si="16"/>
        <v>1289</v>
      </c>
      <c r="B1049" s="15">
        <v>841</v>
      </c>
      <c r="C1049" s="15">
        <v>6</v>
      </c>
      <c r="D1049" s="2">
        <v>1817</v>
      </c>
      <c r="E1049">
        <v>3668</v>
      </c>
      <c r="F1049" s="15"/>
      <c r="G1049" s="15"/>
      <c r="H1049" s="15" t="s">
        <v>1541</v>
      </c>
      <c r="I1049" s="15">
        <v>1289</v>
      </c>
      <c r="J1049" s="15">
        <v>0</v>
      </c>
      <c r="K1049" s="15" t="s">
        <v>884</v>
      </c>
      <c r="L1049" s="43" t="s">
        <v>963</v>
      </c>
      <c r="P1049" s="41">
        <v>4</v>
      </c>
      <c r="Q1049" s="41">
        <v>11</v>
      </c>
      <c r="R1049" s="41">
        <v>63</v>
      </c>
      <c r="S1049" t="s">
        <v>3321</v>
      </c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t="s">
        <v>359</v>
      </c>
    </row>
    <row r="1050" spans="1:34" ht="15.75">
      <c r="A1050" s="29">
        <f t="shared" si="16"/>
        <v>400</v>
      </c>
      <c r="B1050" s="15">
        <v>842</v>
      </c>
      <c r="C1050" s="15">
        <v>6</v>
      </c>
      <c r="D1050" s="2">
        <v>1817</v>
      </c>
      <c r="E1050">
        <v>3757</v>
      </c>
      <c r="F1050" s="15"/>
      <c r="G1050" s="15"/>
      <c r="H1050" s="15" t="s">
        <v>1541</v>
      </c>
      <c r="I1050" s="15">
        <v>400</v>
      </c>
      <c r="J1050" s="15">
        <v>0</v>
      </c>
      <c r="K1050" s="15" t="s">
        <v>864</v>
      </c>
      <c r="L1050" s="43" t="s">
        <v>964</v>
      </c>
      <c r="P1050" s="41">
        <v>20</v>
      </c>
      <c r="Q1050" s="41">
        <v>10</v>
      </c>
      <c r="R1050" s="41">
        <v>59</v>
      </c>
      <c r="S1050" t="s">
        <v>3321</v>
      </c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t="s">
        <v>359</v>
      </c>
    </row>
    <row r="1051" spans="1:34" ht="15.75">
      <c r="A1051" s="29">
        <f t="shared" si="16"/>
        <v>22956</v>
      </c>
      <c r="B1051" s="18">
        <v>842</v>
      </c>
      <c r="C1051" s="15">
        <v>6</v>
      </c>
      <c r="D1051" s="2">
        <v>1817</v>
      </c>
      <c r="E1051">
        <v>3758</v>
      </c>
      <c r="F1051" s="18"/>
      <c r="G1051" s="18"/>
      <c r="H1051" s="18" t="s">
        <v>1541</v>
      </c>
      <c r="I1051" s="18">
        <v>11956</v>
      </c>
      <c r="J1051" s="18">
        <v>550</v>
      </c>
      <c r="K1051" s="15" t="s">
        <v>864</v>
      </c>
      <c r="L1051" s="43" t="s">
        <v>2398</v>
      </c>
      <c r="M1051" s="43" t="s">
        <v>2399</v>
      </c>
      <c r="N1051" s="43"/>
      <c r="O1051" s="41" t="s">
        <v>2400</v>
      </c>
      <c r="P1051" s="41">
        <v>25</v>
      </c>
      <c r="Q1051" s="41">
        <v>8</v>
      </c>
      <c r="S1051" s="15" t="s">
        <v>2402</v>
      </c>
      <c r="T1051" s="15" t="s">
        <v>1280</v>
      </c>
      <c r="U1051" s="15" t="s">
        <v>2401</v>
      </c>
      <c r="V1051" s="15" t="s">
        <v>2403</v>
      </c>
      <c r="W1051" s="15"/>
      <c r="X1051" s="15">
        <v>1</v>
      </c>
      <c r="Y1051" s="15" t="s">
        <v>2404</v>
      </c>
      <c r="Z1051" s="15"/>
      <c r="AA1051" s="15"/>
      <c r="AB1051" s="15"/>
      <c r="AC1051" s="15"/>
      <c r="AD1051" s="15"/>
      <c r="AE1051" s="15"/>
      <c r="AF1051" s="15"/>
      <c r="AG1051" s="15"/>
      <c r="AH1051" t="s">
        <v>359</v>
      </c>
    </row>
    <row r="1052" spans="1:34" ht="15.75">
      <c r="A1052" s="29">
        <f t="shared" si="16"/>
        <v>2494</v>
      </c>
      <c r="B1052" s="15">
        <v>842</v>
      </c>
      <c r="C1052" s="15">
        <v>6</v>
      </c>
      <c r="D1052" s="2">
        <v>1817</v>
      </c>
      <c r="E1052">
        <v>3759</v>
      </c>
      <c r="F1052" s="15"/>
      <c r="G1052" s="15"/>
      <c r="H1052" s="15" t="s">
        <v>1540</v>
      </c>
      <c r="I1052" s="15">
        <v>2494</v>
      </c>
      <c r="J1052" s="15">
        <v>0</v>
      </c>
      <c r="K1052" s="15" t="s">
        <v>864</v>
      </c>
      <c r="L1052" s="43" t="s">
        <v>5718</v>
      </c>
      <c r="P1052" s="41">
        <v>12</v>
      </c>
      <c r="Q1052" s="41">
        <v>12</v>
      </c>
      <c r="R1052" s="41">
        <v>53</v>
      </c>
      <c r="S1052" t="s">
        <v>3321</v>
      </c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t="s">
        <v>359</v>
      </c>
    </row>
    <row r="1053" spans="1:34" ht="15.75">
      <c r="A1053" s="29">
        <f t="shared" si="16"/>
        <v>260</v>
      </c>
      <c r="B1053" s="15">
        <v>842</v>
      </c>
      <c r="C1053" s="15">
        <v>6</v>
      </c>
      <c r="D1053" s="2">
        <v>1817</v>
      </c>
      <c r="E1053">
        <v>3760</v>
      </c>
      <c r="F1053" s="15"/>
      <c r="G1053" s="15"/>
      <c r="H1053" s="15" t="s">
        <v>1540</v>
      </c>
      <c r="I1053" s="15">
        <v>260</v>
      </c>
      <c r="J1053" s="15">
        <v>0</v>
      </c>
      <c r="K1053" s="15" t="s">
        <v>864</v>
      </c>
      <c r="L1053" s="43" t="s">
        <v>2405</v>
      </c>
      <c r="P1053" s="41">
        <v>2</v>
      </c>
      <c r="Q1053" s="41">
        <v>12</v>
      </c>
      <c r="R1053" s="41">
        <v>48</v>
      </c>
      <c r="S1053" s="15" t="s">
        <v>1547</v>
      </c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t="s">
        <v>359</v>
      </c>
    </row>
    <row r="1054" spans="1:34" ht="15.75">
      <c r="A1054" s="29">
        <f t="shared" si="16"/>
        <v>54000</v>
      </c>
      <c r="B1054" s="15">
        <v>842</v>
      </c>
      <c r="C1054" s="15">
        <v>6</v>
      </c>
      <c r="D1054" s="2">
        <v>1817</v>
      </c>
      <c r="E1054">
        <v>3761</v>
      </c>
      <c r="F1054" s="15"/>
      <c r="G1054" s="15"/>
      <c r="H1054" s="15" t="s">
        <v>1541</v>
      </c>
      <c r="I1054" s="15">
        <v>0</v>
      </c>
      <c r="J1054" s="15">
        <v>2700</v>
      </c>
      <c r="K1054" s="15" t="s">
        <v>864</v>
      </c>
      <c r="L1054" s="43" t="s">
        <v>2406</v>
      </c>
      <c r="M1054" s="41" t="s">
        <v>2407</v>
      </c>
      <c r="O1054" s="41" t="s">
        <v>2408</v>
      </c>
      <c r="P1054" s="41">
        <v>11</v>
      </c>
      <c r="Q1054" s="41">
        <v>9</v>
      </c>
      <c r="R1054" s="41" t="s">
        <v>868</v>
      </c>
      <c r="S1054" s="15" t="s">
        <v>2409</v>
      </c>
      <c r="T1054" s="15"/>
      <c r="U1054" s="15"/>
      <c r="V1054" s="15" t="s">
        <v>2410</v>
      </c>
      <c r="W1054" s="15"/>
      <c r="X1054" s="15">
        <v>1</v>
      </c>
      <c r="Y1054" s="15" t="s">
        <v>2411</v>
      </c>
      <c r="Z1054" s="15"/>
      <c r="AA1054" s="15"/>
      <c r="AB1054" s="15"/>
      <c r="AC1054" s="15"/>
      <c r="AD1054" s="15"/>
      <c r="AE1054" s="15"/>
      <c r="AF1054" s="15"/>
      <c r="AG1054" s="15"/>
      <c r="AH1054" t="s">
        <v>359</v>
      </c>
    </row>
    <row r="1055" spans="1:34" ht="15.75">
      <c r="A1055" s="29">
        <f t="shared" si="16"/>
        <v>36236</v>
      </c>
      <c r="B1055" s="15">
        <v>842</v>
      </c>
      <c r="C1055" s="15">
        <v>6</v>
      </c>
      <c r="D1055" s="2">
        <v>1817</v>
      </c>
      <c r="E1055">
        <v>3762</v>
      </c>
      <c r="F1055" s="15"/>
      <c r="G1055" s="15"/>
      <c r="H1055" s="15" t="s">
        <v>1541</v>
      </c>
      <c r="I1055" s="15">
        <v>36236</v>
      </c>
      <c r="J1055" s="15">
        <v>0</v>
      </c>
      <c r="K1055" s="15" t="s">
        <v>864</v>
      </c>
      <c r="L1055" s="43" t="s">
        <v>2412</v>
      </c>
      <c r="M1055" s="41" t="s">
        <v>2976</v>
      </c>
      <c r="O1055" s="41" t="s">
        <v>2413</v>
      </c>
      <c r="P1055" s="41">
        <v>5</v>
      </c>
      <c r="Q1055" s="41">
        <v>11</v>
      </c>
      <c r="R1055" s="41" t="s">
        <v>868</v>
      </c>
      <c r="S1055" s="15" t="s">
        <v>847</v>
      </c>
      <c r="T1055" s="15" t="s">
        <v>2414</v>
      </c>
      <c r="U1055" s="15"/>
      <c r="V1055" s="15" t="s">
        <v>2415</v>
      </c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t="s">
        <v>359</v>
      </c>
    </row>
    <row r="1056" spans="1:34" ht="15.75">
      <c r="A1056" s="29">
        <f t="shared" si="16"/>
        <v>773</v>
      </c>
      <c r="B1056" s="15">
        <v>842</v>
      </c>
      <c r="C1056" s="15">
        <v>6</v>
      </c>
      <c r="D1056" s="2">
        <v>1817</v>
      </c>
      <c r="E1056">
        <v>3763</v>
      </c>
      <c r="F1056" s="15"/>
      <c r="G1056" s="15"/>
      <c r="H1056" s="15" t="s">
        <v>1540</v>
      </c>
      <c r="I1056" s="15">
        <v>773</v>
      </c>
      <c r="J1056" s="15">
        <v>0</v>
      </c>
      <c r="K1056" s="15" t="s">
        <v>864</v>
      </c>
      <c r="L1056" s="43" t="s">
        <v>970</v>
      </c>
      <c r="P1056" s="41">
        <v>7</v>
      </c>
      <c r="Q1056" s="41">
        <v>5</v>
      </c>
      <c r="R1056" s="41">
        <v>80</v>
      </c>
      <c r="S1056" t="s">
        <v>3321</v>
      </c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t="s">
        <v>359</v>
      </c>
    </row>
    <row r="1057" spans="1:34" ht="15.75">
      <c r="A1057" s="29">
        <f t="shared" si="16"/>
        <v>1573</v>
      </c>
      <c r="B1057" s="15">
        <v>842</v>
      </c>
      <c r="C1057" s="15">
        <v>6</v>
      </c>
      <c r="D1057" s="2">
        <v>1817</v>
      </c>
      <c r="E1057">
        <v>3764</v>
      </c>
      <c r="F1057" s="15"/>
      <c r="G1057" s="15"/>
      <c r="H1057" s="15" t="s">
        <v>1540</v>
      </c>
      <c r="I1057" s="15">
        <f>1447+126</f>
        <v>1573</v>
      </c>
      <c r="J1057" s="15">
        <v>0</v>
      </c>
      <c r="K1057" s="15" t="s">
        <v>864</v>
      </c>
      <c r="L1057" s="43" t="s">
        <v>970</v>
      </c>
      <c r="P1057" s="41">
        <v>27</v>
      </c>
      <c r="Q1057" s="41">
        <v>8</v>
      </c>
      <c r="R1057" s="41">
        <v>35</v>
      </c>
      <c r="S1057" t="s">
        <v>3321</v>
      </c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t="s">
        <v>359</v>
      </c>
    </row>
    <row r="1058" spans="1:34" ht="15.75">
      <c r="A1058" s="29">
        <f t="shared" si="16"/>
        <v>400</v>
      </c>
      <c r="B1058" s="15">
        <v>842</v>
      </c>
      <c r="C1058" s="15">
        <v>6</v>
      </c>
      <c r="D1058" s="2">
        <v>1817</v>
      </c>
      <c r="E1058">
        <v>3765</v>
      </c>
      <c r="F1058" s="15"/>
      <c r="G1058" s="15"/>
      <c r="H1058" s="15" t="s">
        <v>1541</v>
      </c>
      <c r="I1058" s="15">
        <v>400</v>
      </c>
      <c r="J1058" s="15">
        <v>0</v>
      </c>
      <c r="K1058" s="15" t="s">
        <v>864</v>
      </c>
      <c r="L1058" s="43" t="s">
        <v>5719</v>
      </c>
      <c r="P1058" s="41">
        <v>10</v>
      </c>
      <c r="Q1058" s="41">
        <v>5</v>
      </c>
      <c r="R1058" s="41">
        <v>70</v>
      </c>
      <c r="S1058" t="s">
        <v>3321</v>
      </c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t="s">
        <v>359</v>
      </c>
    </row>
    <row r="1059" spans="1:34" ht="15.75">
      <c r="A1059" s="29">
        <f t="shared" si="16"/>
        <v>13000</v>
      </c>
      <c r="B1059" s="15">
        <v>842</v>
      </c>
      <c r="C1059" s="15">
        <v>6</v>
      </c>
      <c r="D1059" s="2">
        <v>1817</v>
      </c>
      <c r="E1059">
        <v>3766</v>
      </c>
      <c r="F1059" s="15"/>
      <c r="G1059" s="15"/>
      <c r="H1059" s="15" t="s">
        <v>1540</v>
      </c>
      <c r="I1059" s="15">
        <v>13000</v>
      </c>
      <c r="J1059" s="15">
        <v>0</v>
      </c>
      <c r="K1059" s="15" t="s">
        <v>864</v>
      </c>
      <c r="L1059" s="43" t="s">
        <v>5719</v>
      </c>
      <c r="P1059" s="41">
        <v>21</v>
      </c>
      <c r="Q1059" s="41">
        <v>7</v>
      </c>
      <c r="R1059" s="41">
        <v>45</v>
      </c>
      <c r="S1059" t="s">
        <v>3321</v>
      </c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t="s">
        <v>359</v>
      </c>
    </row>
    <row r="1060" spans="1:34" ht="15.75">
      <c r="A1060" s="29">
        <f t="shared" si="16"/>
        <v>860</v>
      </c>
      <c r="B1060" s="15">
        <v>842</v>
      </c>
      <c r="C1060" s="15">
        <v>6</v>
      </c>
      <c r="D1060" s="2">
        <v>1817</v>
      </c>
      <c r="E1060">
        <v>3767</v>
      </c>
      <c r="F1060" s="15"/>
      <c r="G1060" s="15"/>
      <c r="H1060" s="15" t="s">
        <v>1540</v>
      </c>
      <c r="I1060" s="15">
        <v>860</v>
      </c>
      <c r="J1060" s="15">
        <v>0</v>
      </c>
      <c r="K1060" s="15" t="s">
        <v>864</v>
      </c>
      <c r="L1060" s="43" t="s">
        <v>5719</v>
      </c>
      <c r="P1060" s="41">
        <v>28</v>
      </c>
      <c r="Q1060" s="41">
        <v>11</v>
      </c>
      <c r="R1060" s="41" t="s">
        <v>1547</v>
      </c>
      <c r="S1060" t="s">
        <v>3321</v>
      </c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t="s">
        <v>359</v>
      </c>
    </row>
    <row r="1061" spans="1:34" ht="15.75">
      <c r="A1061" s="29">
        <f t="shared" si="16"/>
        <v>66100</v>
      </c>
      <c r="B1061" s="15">
        <v>842</v>
      </c>
      <c r="C1061" s="15">
        <v>6</v>
      </c>
      <c r="D1061" s="2">
        <v>1817</v>
      </c>
      <c r="E1061">
        <v>3768</v>
      </c>
      <c r="F1061" s="15"/>
      <c r="G1061" s="15"/>
      <c r="H1061" s="15" t="s">
        <v>1540</v>
      </c>
      <c r="I1061" s="15">
        <v>66100</v>
      </c>
      <c r="J1061" s="15">
        <v>0</v>
      </c>
      <c r="K1061" s="15" t="s">
        <v>864</v>
      </c>
      <c r="L1061" s="43" t="s">
        <v>2416</v>
      </c>
      <c r="M1061" s="41" t="s">
        <v>2417</v>
      </c>
      <c r="N1061" s="41" t="s">
        <v>2418</v>
      </c>
      <c r="O1061" s="41" t="s">
        <v>2419</v>
      </c>
      <c r="P1061" s="41">
        <v>31</v>
      </c>
      <c r="Q1061" s="41">
        <v>10</v>
      </c>
      <c r="R1061" s="41" t="s">
        <v>1547</v>
      </c>
      <c r="S1061" s="15" t="s">
        <v>2420</v>
      </c>
      <c r="T1061" s="15" t="s">
        <v>3705</v>
      </c>
      <c r="U1061" s="15"/>
      <c r="V1061" s="15" t="s">
        <v>2421</v>
      </c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t="s">
        <v>359</v>
      </c>
    </row>
    <row r="1062" spans="1:34" ht="15.75">
      <c r="A1062" s="29">
        <f t="shared" si="16"/>
        <v>9636</v>
      </c>
      <c r="B1062" s="15">
        <v>842</v>
      </c>
      <c r="C1062" s="15">
        <v>6</v>
      </c>
      <c r="D1062" s="2">
        <v>1817</v>
      </c>
      <c r="E1062">
        <v>3769</v>
      </c>
      <c r="F1062" s="15"/>
      <c r="G1062" s="15"/>
      <c r="H1062" s="15" t="s">
        <v>1541</v>
      </c>
      <c r="I1062" s="15">
        <v>9636</v>
      </c>
      <c r="J1062" s="15">
        <v>0</v>
      </c>
      <c r="K1062" s="15" t="s">
        <v>864</v>
      </c>
      <c r="L1062" s="43" t="s">
        <v>2422</v>
      </c>
      <c r="P1062" s="41">
        <v>30</v>
      </c>
      <c r="Q1062" s="41">
        <v>12</v>
      </c>
      <c r="R1062" s="41">
        <v>30</v>
      </c>
      <c r="S1062" s="15" t="s">
        <v>1547</v>
      </c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t="s">
        <v>359</v>
      </c>
    </row>
    <row r="1063" spans="1:34" ht="15.75">
      <c r="A1063" s="29">
        <f t="shared" si="16"/>
        <v>196</v>
      </c>
      <c r="B1063" s="15">
        <v>842</v>
      </c>
      <c r="C1063" s="15">
        <v>6</v>
      </c>
      <c r="D1063" s="2">
        <v>1817</v>
      </c>
      <c r="E1063">
        <v>3770</v>
      </c>
      <c r="F1063" s="15"/>
      <c r="G1063" s="15"/>
      <c r="H1063" s="15" t="s">
        <v>1540</v>
      </c>
      <c r="I1063" s="15">
        <v>196</v>
      </c>
      <c r="J1063" s="15">
        <v>0</v>
      </c>
      <c r="K1063" s="15" t="s">
        <v>864</v>
      </c>
      <c r="L1063" s="43" t="s">
        <v>2422</v>
      </c>
      <c r="P1063" s="41">
        <v>21</v>
      </c>
      <c r="Q1063" s="41">
        <v>10</v>
      </c>
      <c r="R1063" s="41">
        <v>76</v>
      </c>
      <c r="S1063" t="s">
        <v>3321</v>
      </c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t="s">
        <v>359</v>
      </c>
    </row>
    <row r="1064" spans="1:34" ht="15.75">
      <c r="A1064" s="29">
        <f t="shared" si="16"/>
        <v>40</v>
      </c>
      <c r="B1064" s="15">
        <v>842</v>
      </c>
      <c r="C1064" s="15">
        <v>6</v>
      </c>
      <c r="D1064" s="2">
        <v>1817</v>
      </c>
      <c r="E1064">
        <v>3772</v>
      </c>
      <c r="F1064" s="15"/>
      <c r="G1064" s="15"/>
      <c r="H1064" s="15" t="s">
        <v>1541</v>
      </c>
      <c r="I1064" s="15">
        <v>40</v>
      </c>
      <c r="J1064" s="15">
        <v>0</v>
      </c>
      <c r="K1064" s="15" t="s">
        <v>864</v>
      </c>
      <c r="L1064" s="43" t="s">
        <v>1396</v>
      </c>
      <c r="P1064" s="41">
        <v>6</v>
      </c>
      <c r="Q1064" s="41">
        <v>5</v>
      </c>
      <c r="R1064" s="41">
        <v>68</v>
      </c>
      <c r="S1064" s="15" t="s">
        <v>3343</v>
      </c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t="s">
        <v>359</v>
      </c>
    </row>
    <row r="1065" spans="1:34" ht="15.75">
      <c r="A1065" s="29">
        <f t="shared" si="16"/>
        <v>20</v>
      </c>
      <c r="B1065" s="15">
        <v>843</v>
      </c>
      <c r="C1065" s="15">
        <v>6</v>
      </c>
      <c r="D1065" s="2">
        <v>1817</v>
      </c>
      <c r="E1065">
        <v>3844</v>
      </c>
      <c r="F1065" s="15"/>
      <c r="G1065" s="15"/>
      <c r="H1065" s="15" t="s">
        <v>1541</v>
      </c>
      <c r="I1065" s="15">
        <v>20</v>
      </c>
      <c r="J1065" s="15">
        <v>0</v>
      </c>
      <c r="K1065" s="15" t="s">
        <v>864</v>
      </c>
      <c r="L1065" s="43" t="s">
        <v>3675</v>
      </c>
      <c r="P1065" s="41">
        <v>9</v>
      </c>
      <c r="Q1065" s="41">
        <v>10</v>
      </c>
      <c r="R1065" s="41">
        <v>48</v>
      </c>
      <c r="S1065" s="15" t="s">
        <v>3329</v>
      </c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t="s">
        <v>359</v>
      </c>
    </row>
    <row r="1066" spans="1:34" ht="15.75">
      <c r="A1066" s="29">
        <f t="shared" si="16"/>
        <v>7410</v>
      </c>
      <c r="B1066" s="15">
        <v>843</v>
      </c>
      <c r="C1066" s="15">
        <v>6</v>
      </c>
      <c r="D1066" s="2">
        <v>1817</v>
      </c>
      <c r="E1066">
        <v>3845</v>
      </c>
      <c r="F1066" s="15"/>
      <c r="G1066" s="15"/>
      <c r="H1066" s="15" t="s">
        <v>1540</v>
      </c>
      <c r="I1066" s="15">
        <v>7410</v>
      </c>
      <c r="J1066" s="15">
        <v>0</v>
      </c>
      <c r="K1066" s="15" t="s">
        <v>864</v>
      </c>
      <c r="L1066" s="43" t="s">
        <v>2430</v>
      </c>
      <c r="P1066" s="41">
        <v>27</v>
      </c>
      <c r="Q1066" s="41">
        <v>10</v>
      </c>
      <c r="R1066" s="41" t="s">
        <v>868</v>
      </c>
      <c r="S1066" t="s">
        <v>1547</v>
      </c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t="s">
        <v>359</v>
      </c>
    </row>
    <row r="1067" spans="1:34" ht="15.75">
      <c r="A1067" s="29">
        <f t="shared" si="16"/>
        <v>1494</v>
      </c>
      <c r="B1067" s="15">
        <v>843</v>
      </c>
      <c r="C1067" s="15">
        <v>6</v>
      </c>
      <c r="D1067" s="2">
        <v>1817</v>
      </c>
      <c r="E1067">
        <v>3846</v>
      </c>
      <c r="F1067" s="15"/>
      <c r="G1067" s="15"/>
      <c r="H1067" s="15" t="s">
        <v>1540</v>
      </c>
      <c r="I1067" s="15">
        <v>1494</v>
      </c>
      <c r="J1067" s="15">
        <v>0</v>
      </c>
      <c r="K1067" s="15" t="s">
        <v>864</v>
      </c>
      <c r="L1067" s="43" t="s">
        <v>2431</v>
      </c>
      <c r="P1067" s="41">
        <v>1</v>
      </c>
      <c r="Q1067" s="41">
        <v>4</v>
      </c>
      <c r="R1067" s="41">
        <v>48</v>
      </c>
      <c r="S1067" t="s">
        <v>3321</v>
      </c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t="s">
        <v>359</v>
      </c>
    </row>
    <row r="1068" spans="1:34" ht="15.75">
      <c r="A1068" s="29">
        <f t="shared" si="16"/>
        <v>8049</v>
      </c>
      <c r="B1068" s="15">
        <v>843</v>
      </c>
      <c r="C1068" s="15">
        <v>6</v>
      </c>
      <c r="D1068" s="2">
        <v>1817</v>
      </c>
      <c r="E1068">
        <v>3847</v>
      </c>
      <c r="F1068" s="15"/>
      <c r="G1068" s="15"/>
      <c r="H1068" s="15" t="s">
        <v>1549</v>
      </c>
      <c r="I1068" s="15">
        <v>49</v>
      </c>
      <c r="J1068" s="15">
        <v>400</v>
      </c>
      <c r="K1068" s="15" t="s">
        <v>864</v>
      </c>
      <c r="L1068" s="43" t="s">
        <v>3647</v>
      </c>
      <c r="P1068" s="41">
        <v>24</v>
      </c>
      <c r="Q1068" s="41">
        <v>1</v>
      </c>
      <c r="R1068" s="41">
        <v>71</v>
      </c>
      <c r="S1068" t="s">
        <v>1547</v>
      </c>
      <c r="T1068" s="15"/>
      <c r="U1068" s="15"/>
      <c r="V1068" s="15"/>
      <c r="W1068" s="15"/>
      <c r="X1068" s="15">
        <v>1</v>
      </c>
      <c r="Y1068" s="15" t="s">
        <v>2432</v>
      </c>
      <c r="Z1068" s="15"/>
      <c r="AA1068" s="15"/>
      <c r="AB1068" s="15"/>
      <c r="AC1068" s="15"/>
      <c r="AD1068" s="15"/>
      <c r="AE1068" s="15"/>
      <c r="AF1068" s="15"/>
      <c r="AG1068" s="15"/>
      <c r="AH1068" t="s">
        <v>359</v>
      </c>
    </row>
    <row r="1069" spans="1:34" ht="15.75">
      <c r="A1069" s="29">
        <f t="shared" si="16"/>
        <v>7160</v>
      </c>
      <c r="B1069" s="15">
        <v>843</v>
      </c>
      <c r="C1069" s="15">
        <v>6</v>
      </c>
      <c r="D1069" s="2">
        <v>1817</v>
      </c>
      <c r="E1069">
        <v>3848</v>
      </c>
      <c r="F1069" s="15"/>
      <c r="G1069" s="15"/>
      <c r="H1069" s="15" t="s">
        <v>1541</v>
      </c>
      <c r="I1069" s="15">
        <v>7160</v>
      </c>
      <c r="J1069" s="15">
        <v>0</v>
      </c>
      <c r="K1069" s="15" t="s">
        <v>864</v>
      </c>
      <c r="L1069" s="43" t="s">
        <v>2433</v>
      </c>
      <c r="P1069" s="41">
        <v>23</v>
      </c>
      <c r="Q1069" s="41">
        <v>10</v>
      </c>
      <c r="R1069" s="41" t="s">
        <v>868</v>
      </c>
      <c r="S1069" t="s">
        <v>1547</v>
      </c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t="s">
        <v>359</v>
      </c>
    </row>
    <row r="1070" spans="1:34" ht="15.75">
      <c r="A1070" s="29">
        <f t="shared" si="16"/>
        <v>759</v>
      </c>
      <c r="B1070" s="15">
        <v>844</v>
      </c>
      <c r="C1070" s="15">
        <v>6</v>
      </c>
      <c r="D1070" s="2">
        <v>1817</v>
      </c>
      <c r="E1070">
        <v>3895</v>
      </c>
      <c r="F1070" s="15"/>
      <c r="G1070" s="15"/>
      <c r="H1070" s="15" t="s">
        <v>1549</v>
      </c>
      <c r="I1070" s="15">
        <v>759</v>
      </c>
      <c r="J1070" s="15">
        <v>0</v>
      </c>
      <c r="K1070" s="15" t="s">
        <v>864</v>
      </c>
      <c r="L1070" s="43" t="s">
        <v>5726</v>
      </c>
      <c r="P1070" s="41">
        <v>10</v>
      </c>
      <c r="Q1070" s="41">
        <v>12</v>
      </c>
      <c r="R1070" s="41" t="s">
        <v>868</v>
      </c>
      <c r="S1070" t="s">
        <v>3321</v>
      </c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t="s">
        <v>359</v>
      </c>
    </row>
    <row r="1071" spans="1:34" ht="15.75">
      <c r="A1071" s="29">
        <f t="shared" si="16"/>
        <v>1200</v>
      </c>
      <c r="B1071" s="15">
        <v>844</v>
      </c>
      <c r="C1071" s="15">
        <v>6</v>
      </c>
      <c r="D1071" s="2">
        <v>1817</v>
      </c>
      <c r="E1071">
        <v>3896</v>
      </c>
      <c r="F1071" s="15"/>
      <c r="G1071" s="15"/>
      <c r="H1071" s="15" t="s">
        <v>1541</v>
      </c>
      <c r="I1071" s="15">
        <v>1200</v>
      </c>
      <c r="J1071" s="15">
        <v>0</v>
      </c>
      <c r="K1071" s="15" t="s">
        <v>864</v>
      </c>
      <c r="L1071" s="43" t="s">
        <v>5726</v>
      </c>
      <c r="P1071" s="41">
        <v>24</v>
      </c>
      <c r="Q1071" s="41">
        <v>12</v>
      </c>
      <c r="R1071" s="41">
        <v>26</v>
      </c>
      <c r="S1071" t="s">
        <v>3321</v>
      </c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t="s">
        <v>359</v>
      </c>
    </row>
    <row r="1072" spans="1:34" ht="15.75">
      <c r="A1072" s="29">
        <f t="shared" si="16"/>
        <v>3990</v>
      </c>
      <c r="B1072" s="15">
        <v>844</v>
      </c>
      <c r="C1072" s="15">
        <v>6</v>
      </c>
      <c r="D1072" s="2">
        <v>1817</v>
      </c>
      <c r="E1072">
        <v>3897</v>
      </c>
      <c r="F1072" s="15"/>
      <c r="G1072" s="15"/>
      <c r="H1072" s="15" t="s">
        <v>1549</v>
      </c>
      <c r="I1072" s="15">
        <v>3990</v>
      </c>
      <c r="J1072" s="15">
        <v>0</v>
      </c>
      <c r="K1072" s="15" t="s">
        <v>864</v>
      </c>
      <c r="L1072" s="43" t="s">
        <v>3650</v>
      </c>
      <c r="P1072" s="41">
        <v>24</v>
      </c>
      <c r="Q1072" s="41">
        <v>9</v>
      </c>
      <c r="R1072" s="41">
        <v>77</v>
      </c>
      <c r="S1072" t="s">
        <v>3321</v>
      </c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t="s">
        <v>359</v>
      </c>
    </row>
    <row r="1073" spans="1:34" ht="15.75">
      <c r="A1073" s="29">
        <f t="shared" si="16"/>
        <v>305</v>
      </c>
      <c r="B1073" s="15">
        <v>844</v>
      </c>
      <c r="C1073" s="15">
        <v>6</v>
      </c>
      <c r="D1073" s="2">
        <v>1817</v>
      </c>
      <c r="E1073">
        <v>3898</v>
      </c>
      <c r="F1073" s="15"/>
      <c r="G1073" s="15"/>
      <c r="H1073" s="15" t="s">
        <v>1549</v>
      </c>
      <c r="I1073" s="15">
        <v>305</v>
      </c>
      <c r="J1073" s="15">
        <v>0</v>
      </c>
      <c r="K1073" s="15" t="s">
        <v>864</v>
      </c>
      <c r="L1073" s="43" t="s">
        <v>3650</v>
      </c>
      <c r="P1073" s="41">
        <v>15</v>
      </c>
      <c r="Q1073" s="41">
        <v>8</v>
      </c>
      <c r="R1073" s="41">
        <v>20</v>
      </c>
      <c r="S1073" t="s">
        <v>3321</v>
      </c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t="s">
        <v>359</v>
      </c>
    </row>
    <row r="1074" spans="1:34" ht="15.75">
      <c r="A1074" s="29">
        <f t="shared" si="16"/>
        <v>91511</v>
      </c>
      <c r="B1074" s="15">
        <v>844</v>
      </c>
      <c r="C1074" s="15">
        <v>6</v>
      </c>
      <c r="D1074" s="2">
        <v>1817</v>
      </c>
      <c r="E1074">
        <v>3899</v>
      </c>
      <c r="F1074" s="15"/>
      <c r="G1074" s="15"/>
      <c r="H1074" s="15" t="s">
        <v>1541</v>
      </c>
      <c r="I1074" s="15">
        <v>91511</v>
      </c>
      <c r="J1074" s="15">
        <v>0</v>
      </c>
      <c r="K1074" s="15" t="s">
        <v>864</v>
      </c>
      <c r="L1074" s="43" t="s">
        <v>2434</v>
      </c>
      <c r="M1074" s="41" t="s">
        <v>2435</v>
      </c>
      <c r="O1074" s="41" t="s">
        <v>2436</v>
      </c>
      <c r="P1074" s="41">
        <v>7</v>
      </c>
      <c r="Q1074" s="41">
        <v>11</v>
      </c>
      <c r="R1074" s="41">
        <v>60</v>
      </c>
      <c r="S1074" s="15" t="s">
        <v>2437</v>
      </c>
      <c r="T1074" s="15" t="s">
        <v>2438</v>
      </c>
      <c r="U1074" s="15"/>
      <c r="V1074" s="15" t="s">
        <v>2439</v>
      </c>
      <c r="W1074" s="15"/>
      <c r="X1074" s="15"/>
      <c r="Y1074" s="15"/>
      <c r="Z1074" s="15"/>
      <c r="AA1074" s="15" t="s">
        <v>5255</v>
      </c>
      <c r="AB1074" s="15"/>
      <c r="AC1074" s="15" t="s">
        <v>2440</v>
      </c>
      <c r="AD1074" s="15"/>
      <c r="AE1074" s="15"/>
      <c r="AF1074" s="15"/>
      <c r="AG1074" s="15"/>
      <c r="AH1074" t="s">
        <v>359</v>
      </c>
    </row>
    <row r="1075" spans="1:34" ht="15.75">
      <c r="A1075" s="29">
        <f t="shared" si="16"/>
        <v>116</v>
      </c>
      <c r="B1075" s="15">
        <v>844</v>
      </c>
      <c r="C1075" s="15">
        <v>6</v>
      </c>
      <c r="D1075" s="2">
        <v>1817</v>
      </c>
      <c r="E1075">
        <v>3900</v>
      </c>
      <c r="F1075" s="15"/>
      <c r="G1075" s="15"/>
      <c r="H1075" s="15" t="s">
        <v>1549</v>
      </c>
      <c r="I1075" s="15">
        <v>116</v>
      </c>
      <c r="J1075" s="15">
        <v>0</v>
      </c>
      <c r="K1075" s="15" t="s">
        <v>864</v>
      </c>
      <c r="L1075" s="43" t="s">
        <v>4707</v>
      </c>
      <c r="P1075" s="41">
        <v>24</v>
      </c>
      <c r="Q1075" s="41">
        <v>9</v>
      </c>
      <c r="R1075" s="41" t="s">
        <v>868</v>
      </c>
      <c r="S1075" t="s">
        <v>3321</v>
      </c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t="s">
        <v>359</v>
      </c>
    </row>
    <row r="1076" spans="1:34" ht="15.75">
      <c r="A1076" s="29">
        <f t="shared" si="16"/>
        <v>3412</v>
      </c>
      <c r="B1076" s="15">
        <v>844</v>
      </c>
      <c r="C1076" s="15">
        <v>6</v>
      </c>
      <c r="D1076" s="2">
        <v>1817</v>
      </c>
      <c r="E1076">
        <v>3901</v>
      </c>
      <c r="F1076" s="15"/>
      <c r="G1076" s="15"/>
      <c r="H1076" s="15" t="s">
        <v>1549</v>
      </c>
      <c r="I1076" s="15">
        <v>3412</v>
      </c>
      <c r="J1076" s="15">
        <v>0</v>
      </c>
      <c r="K1076" s="15" t="s">
        <v>864</v>
      </c>
      <c r="L1076" s="43" t="s">
        <v>4707</v>
      </c>
      <c r="P1076" s="41">
        <v>26</v>
      </c>
      <c r="Q1076" s="41">
        <v>10</v>
      </c>
      <c r="R1076" s="41">
        <v>69</v>
      </c>
      <c r="S1076" t="s">
        <v>3321</v>
      </c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t="s">
        <v>359</v>
      </c>
    </row>
    <row r="1077" spans="1:34" ht="15.75">
      <c r="A1077" s="29">
        <f t="shared" si="16"/>
        <v>160</v>
      </c>
      <c r="B1077" s="15">
        <v>844</v>
      </c>
      <c r="C1077" s="15">
        <v>6</v>
      </c>
      <c r="D1077" s="2">
        <v>1817</v>
      </c>
      <c r="E1077">
        <v>3902</v>
      </c>
      <c r="F1077" s="15"/>
      <c r="G1077" s="15"/>
      <c r="H1077" s="15" t="s">
        <v>1549</v>
      </c>
      <c r="I1077" s="15">
        <v>160</v>
      </c>
      <c r="J1077" s="15">
        <v>0</v>
      </c>
      <c r="K1077" s="15" t="s">
        <v>864</v>
      </c>
      <c r="L1077" s="43" t="s">
        <v>3644</v>
      </c>
      <c r="P1077" s="41">
        <v>7</v>
      </c>
      <c r="Q1077" s="41">
        <v>8</v>
      </c>
      <c r="R1077" s="41">
        <v>51</v>
      </c>
      <c r="S1077" t="s">
        <v>3321</v>
      </c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t="s">
        <v>359</v>
      </c>
    </row>
    <row r="1078" spans="1:34" ht="15">
      <c r="A1078" s="29">
        <f t="shared" si="16"/>
        <v>2598</v>
      </c>
      <c r="B1078" s="15">
        <v>844</v>
      </c>
      <c r="C1078" s="15">
        <v>6</v>
      </c>
      <c r="D1078" s="15">
        <v>1817</v>
      </c>
      <c r="E1078">
        <v>3903</v>
      </c>
      <c r="F1078" s="15"/>
      <c r="G1078" s="15"/>
      <c r="H1078" s="15" t="s">
        <v>1541</v>
      </c>
      <c r="I1078" s="15">
        <v>2598</v>
      </c>
      <c r="J1078" s="15">
        <v>0</v>
      </c>
      <c r="K1078" s="15" t="s">
        <v>864</v>
      </c>
      <c r="L1078" s="43" t="s">
        <v>2441</v>
      </c>
      <c r="P1078" s="41">
        <v>14</v>
      </c>
      <c r="Q1078" s="41">
        <v>3</v>
      </c>
      <c r="R1078" s="41" t="s">
        <v>868</v>
      </c>
      <c r="S1078" t="s">
        <v>1547</v>
      </c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t="s">
        <v>359</v>
      </c>
    </row>
    <row r="1079" spans="1:34" ht="15.75">
      <c r="A1079" s="29">
        <f t="shared" si="16"/>
        <v>276</v>
      </c>
      <c r="B1079" s="15">
        <v>844</v>
      </c>
      <c r="C1079" s="15">
        <v>6</v>
      </c>
      <c r="D1079" s="2">
        <v>1817</v>
      </c>
      <c r="E1079">
        <v>3904</v>
      </c>
      <c r="F1079" s="15"/>
      <c r="G1079" s="15"/>
      <c r="H1079" s="15" t="s">
        <v>1549</v>
      </c>
      <c r="I1079" s="15">
        <v>276</v>
      </c>
      <c r="J1079" s="15">
        <v>0</v>
      </c>
      <c r="K1079" s="15" t="s">
        <v>864</v>
      </c>
      <c r="L1079" s="43" t="s">
        <v>2441</v>
      </c>
      <c r="P1079" s="41">
        <v>7</v>
      </c>
      <c r="Q1079" s="41">
        <v>9</v>
      </c>
      <c r="R1079" s="41" t="s">
        <v>868</v>
      </c>
      <c r="S1079" t="s">
        <v>3321</v>
      </c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t="s">
        <v>359</v>
      </c>
    </row>
    <row r="1080" spans="1:34" ht="15.75">
      <c r="A1080" s="29">
        <f t="shared" si="16"/>
        <v>800</v>
      </c>
      <c r="B1080" s="15">
        <v>844</v>
      </c>
      <c r="C1080" s="15">
        <v>6</v>
      </c>
      <c r="D1080" s="2">
        <v>1817</v>
      </c>
      <c r="E1080">
        <v>3905</v>
      </c>
      <c r="F1080" s="15"/>
      <c r="G1080" s="15"/>
      <c r="H1080" s="15" t="s">
        <v>1549</v>
      </c>
      <c r="I1080" s="15">
        <v>800</v>
      </c>
      <c r="J1080" s="15">
        <v>0</v>
      </c>
      <c r="K1080" s="15" t="s">
        <v>864</v>
      </c>
      <c r="L1080" s="43" t="s">
        <v>2442</v>
      </c>
      <c r="P1080" s="41">
        <v>9</v>
      </c>
      <c r="Q1080" s="41">
        <v>7</v>
      </c>
      <c r="R1080" s="41">
        <v>72</v>
      </c>
      <c r="S1080" t="s">
        <v>3321</v>
      </c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t="s">
        <v>359</v>
      </c>
    </row>
    <row r="1081" spans="1:34" ht="15.75">
      <c r="A1081" s="29">
        <f t="shared" si="16"/>
        <v>7059</v>
      </c>
      <c r="B1081" s="15">
        <v>844</v>
      </c>
      <c r="C1081" s="15">
        <v>6</v>
      </c>
      <c r="D1081" s="2">
        <v>1817</v>
      </c>
      <c r="E1081">
        <v>3906</v>
      </c>
      <c r="F1081" s="15"/>
      <c r="G1081" s="15"/>
      <c r="H1081" s="15" t="s">
        <v>1541</v>
      </c>
      <c r="I1081" s="15">
        <v>7059</v>
      </c>
      <c r="J1081" s="15">
        <v>0</v>
      </c>
      <c r="K1081" s="15" t="s">
        <v>864</v>
      </c>
      <c r="L1081" s="43" t="s">
        <v>3677</v>
      </c>
      <c r="P1081" s="41">
        <v>13</v>
      </c>
      <c r="Q1081" s="41">
        <v>3</v>
      </c>
      <c r="R1081" s="41" t="s">
        <v>868</v>
      </c>
      <c r="S1081" t="s">
        <v>1547</v>
      </c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t="s">
        <v>359</v>
      </c>
    </row>
    <row r="1082" spans="1:34" ht="15.75">
      <c r="A1082" s="29">
        <f t="shared" si="16"/>
        <v>172</v>
      </c>
      <c r="B1082" s="15">
        <v>844</v>
      </c>
      <c r="C1082" s="15">
        <v>6</v>
      </c>
      <c r="D1082" s="2">
        <v>1817</v>
      </c>
      <c r="E1082">
        <v>3907</v>
      </c>
      <c r="F1082" s="15"/>
      <c r="G1082" s="15"/>
      <c r="H1082" s="15" t="s">
        <v>1549</v>
      </c>
      <c r="I1082" s="15">
        <v>172</v>
      </c>
      <c r="J1082" s="15">
        <v>0</v>
      </c>
      <c r="K1082" s="15" t="s">
        <v>864</v>
      </c>
      <c r="L1082" s="43" t="s">
        <v>3677</v>
      </c>
      <c r="P1082" s="41">
        <v>19</v>
      </c>
      <c r="Q1082" s="41">
        <v>12</v>
      </c>
      <c r="R1082" s="41">
        <v>66</v>
      </c>
      <c r="S1082" t="s">
        <v>3321</v>
      </c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t="s">
        <v>359</v>
      </c>
    </row>
    <row r="1083" spans="1:34" ht="15.75">
      <c r="A1083" s="29">
        <f t="shared" si="16"/>
        <v>484</v>
      </c>
      <c r="B1083" s="15">
        <v>844</v>
      </c>
      <c r="C1083" s="15">
        <v>6</v>
      </c>
      <c r="D1083" s="2">
        <v>1817</v>
      </c>
      <c r="E1083">
        <v>3908</v>
      </c>
      <c r="F1083" s="15"/>
      <c r="G1083" s="15"/>
      <c r="H1083" s="15" t="s">
        <v>1549</v>
      </c>
      <c r="I1083" s="15">
        <v>484</v>
      </c>
      <c r="J1083" s="15">
        <v>0</v>
      </c>
      <c r="K1083" s="15" t="s">
        <v>864</v>
      </c>
      <c r="L1083" s="43" t="s">
        <v>5728</v>
      </c>
      <c r="P1083" s="41">
        <v>3</v>
      </c>
      <c r="Q1083" s="41">
        <v>2</v>
      </c>
      <c r="R1083" s="41">
        <v>73</v>
      </c>
      <c r="S1083" t="s">
        <v>1547</v>
      </c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t="s">
        <v>359</v>
      </c>
    </row>
    <row r="1084" spans="1:34" ht="15.75">
      <c r="A1084" s="29">
        <f t="shared" si="16"/>
        <v>1780</v>
      </c>
      <c r="B1084" s="15">
        <v>845</v>
      </c>
      <c r="C1084" s="15">
        <v>6</v>
      </c>
      <c r="D1084" s="2">
        <v>1817</v>
      </c>
      <c r="E1084">
        <v>3998</v>
      </c>
      <c r="F1084" s="15"/>
      <c r="G1084" s="15"/>
      <c r="H1084" s="15" t="s">
        <v>1541</v>
      </c>
      <c r="I1084" s="15">
        <v>1780</v>
      </c>
      <c r="J1084" s="15">
        <v>0</v>
      </c>
      <c r="K1084" s="15" t="s">
        <v>864</v>
      </c>
      <c r="L1084" s="43" t="s">
        <v>3669</v>
      </c>
      <c r="P1084" s="41">
        <v>14</v>
      </c>
      <c r="Q1084" s="41">
        <v>5</v>
      </c>
      <c r="R1084" s="41">
        <v>65</v>
      </c>
      <c r="S1084" t="s">
        <v>3321</v>
      </c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t="s">
        <v>359</v>
      </c>
    </row>
    <row r="1085" spans="1:34" ht="15.75">
      <c r="A1085" s="29">
        <f t="shared" si="16"/>
        <v>339</v>
      </c>
      <c r="B1085" s="15">
        <v>845</v>
      </c>
      <c r="C1085" s="15">
        <v>6</v>
      </c>
      <c r="D1085" s="2">
        <v>1817</v>
      </c>
      <c r="E1085">
        <v>3999</v>
      </c>
      <c r="F1085" s="15"/>
      <c r="G1085" s="15"/>
      <c r="H1085" s="15" t="s">
        <v>1541</v>
      </c>
      <c r="I1085" s="15">
        <v>339</v>
      </c>
      <c r="J1085" s="15">
        <v>0</v>
      </c>
      <c r="K1085" s="15" t="s">
        <v>864</v>
      </c>
      <c r="L1085" s="43" t="s">
        <v>4708</v>
      </c>
      <c r="P1085" s="41">
        <v>18</v>
      </c>
      <c r="Q1085" s="41">
        <v>5</v>
      </c>
      <c r="R1085" s="41">
        <v>67</v>
      </c>
      <c r="S1085" t="s">
        <v>3321</v>
      </c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t="s">
        <v>359</v>
      </c>
    </row>
    <row r="1086" spans="1:34" ht="15.75">
      <c r="A1086" s="29">
        <f t="shared" si="16"/>
        <v>160</v>
      </c>
      <c r="B1086" s="15">
        <v>846</v>
      </c>
      <c r="C1086" s="15">
        <v>6</v>
      </c>
      <c r="D1086" s="2">
        <v>1817</v>
      </c>
      <c r="E1086">
        <v>4014</v>
      </c>
      <c r="F1086" s="15"/>
      <c r="G1086" s="15"/>
      <c r="H1086" s="15" t="s">
        <v>1540</v>
      </c>
      <c r="I1086" s="15">
        <v>160</v>
      </c>
      <c r="J1086" s="15">
        <v>0</v>
      </c>
      <c r="K1086" s="15" t="s">
        <v>864</v>
      </c>
      <c r="L1086" s="43" t="s">
        <v>3664</v>
      </c>
      <c r="P1086" s="41">
        <v>23</v>
      </c>
      <c r="Q1086" s="41">
        <v>5</v>
      </c>
      <c r="R1086" s="41">
        <v>50</v>
      </c>
      <c r="S1086" t="s">
        <v>3321</v>
      </c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t="s">
        <v>359</v>
      </c>
    </row>
    <row r="1087" spans="1:34" ht="15.75">
      <c r="A1087" s="29">
        <f t="shared" si="16"/>
        <v>611</v>
      </c>
      <c r="B1087" s="15">
        <v>846</v>
      </c>
      <c r="C1087" s="15">
        <v>6</v>
      </c>
      <c r="D1087" s="2">
        <v>1817</v>
      </c>
      <c r="E1087">
        <v>4015</v>
      </c>
      <c r="F1087" s="15"/>
      <c r="G1087" s="15"/>
      <c r="H1087" s="15" t="s">
        <v>1541</v>
      </c>
      <c r="I1087" s="15">
        <v>611</v>
      </c>
      <c r="J1087" s="15">
        <v>0</v>
      </c>
      <c r="K1087" s="15" t="s">
        <v>864</v>
      </c>
      <c r="L1087" s="43" t="s">
        <v>3664</v>
      </c>
      <c r="P1087" s="41">
        <v>21</v>
      </c>
      <c r="Q1087" s="41">
        <v>7</v>
      </c>
      <c r="R1087" s="41">
        <v>71</v>
      </c>
      <c r="S1087" t="s">
        <v>3321</v>
      </c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t="s">
        <v>359</v>
      </c>
    </row>
    <row r="1088" spans="1:34" ht="15.75">
      <c r="A1088" s="29">
        <f t="shared" si="16"/>
        <v>403</v>
      </c>
      <c r="B1088" s="15">
        <v>846</v>
      </c>
      <c r="C1088" s="15">
        <v>6</v>
      </c>
      <c r="D1088" s="2">
        <v>1817</v>
      </c>
      <c r="E1088">
        <v>4016</v>
      </c>
      <c r="F1088" s="15"/>
      <c r="G1088" s="15"/>
      <c r="H1088" s="15" t="s">
        <v>1540</v>
      </c>
      <c r="I1088" s="15">
        <v>403</v>
      </c>
      <c r="J1088" s="15">
        <v>0</v>
      </c>
      <c r="K1088" s="15" t="s">
        <v>864</v>
      </c>
      <c r="L1088" s="43" t="s">
        <v>3664</v>
      </c>
      <c r="P1088" s="41">
        <v>12</v>
      </c>
      <c r="Q1088" s="41">
        <v>7</v>
      </c>
      <c r="R1088" s="41">
        <v>32</v>
      </c>
      <c r="S1088" t="s">
        <v>3321</v>
      </c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t="s">
        <v>359</v>
      </c>
    </row>
    <row r="1089" spans="1:34" ht="15.75">
      <c r="A1089" s="29">
        <f t="shared" si="16"/>
        <v>1515</v>
      </c>
      <c r="B1089" s="15">
        <v>846</v>
      </c>
      <c r="C1089" s="15">
        <v>6</v>
      </c>
      <c r="D1089" s="2">
        <v>1817</v>
      </c>
      <c r="E1089">
        <v>4017</v>
      </c>
      <c r="F1089" s="15"/>
      <c r="G1089" s="15"/>
      <c r="H1089" s="15" t="s">
        <v>850</v>
      </c>
      <c r="I1089" s="15">
        <v>1515</v>
      </c>
      <c r="J1089" s="15">
        <v>0</v>
      </c>
      <c r="K1089" s="15" t="s">
        <v>864</v>
      </c>
      <c r="L1089" s="43" t="s">
        <v>4709</v>
      </c>
      <c r="P1089" s="41">
        <v>21</v>
      </c>
      <c r="Q1089" s="41">
        <v>2</v>
      </c>
      <c r="R1089" s="41">
        <v>75</v>
      </c>
      <c r="S1089" s="15" t="s">
        <v>3329</v>
      </c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t="s">
        <v>359</v>
      </c>
    </row>
    <row r="1090" spans="1:34" ht="15.75">
      <c r="A1090" s="29">
        <f aca="true" t="shared" si="17" ref="A1090:A1153">I1090+J1090*20*X1090</f>
        <v>200</v>
      </c>
      <c r="B1090" s="15">
        <v>847</v>
      </c>
      <c r="C1090" s="2">
        <v>6</v>
      </c>
      <c r="D1090" s="2">
        <v>1817</v>
      </c>
      <c r="E1090">
        <v>4060</v>
      </c>
      <c r="F1090" s="15"/>
      <c r="G1090" s="15"/>
      <c r="H1090" s="15" t="s">
        <v>850</v>
      </c>
      <c r="I1090" s="15">
        <v>200</v>
      </c>
      <c r="J1090" s="15">
        <v>0</v>
      </c>
      <c r="K1090" s="15" t="s">
        <v>864</v>
      </c>
      <c r="L1090" s="43" t="s">
        <v>2446</v>
      </c>
      <c r="P1090" s="41">
        <v>30</v>
      </c>
      <c r="Q1090" s="41">
        <v>5</v>
      </c>
      <c r="R1090" s="41">
        <v>61</v>
      </c>
      <c r="S1090" t="s">
        <v>3321</v>
      </c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t="s">
        <v>359</v>
      </c>
    </row>
    <row r="1091" spans="1:34" ht="15.75">
      <c r="A1091" s="29">
        <f t="shared" si="17"/>
        <v>3765</v>
      </c>
      <c r="B1091" s="15">
        <v>847</v>
      </c>
      <c r="C1091" s="2">
        <v>6</v>
      </c>
      <c r="D1091" s="2">
        <v>1817</v>
      </c>
      <c r="E1091">
        <v>4061</v>
      </c>
      <c r="F1091" s="15"/>
      <c r="G1091" s="15"/>
      <c r="H1091" s="15" t="s">
        <v>1549</v>
      </c>
      <c r="I1091" s="15">
        <v>3765</v>
      </c>
      <c r="J1091" s="15">
        <v>0</v>
      </c>
      <c r="K1091" s="15" t="s">
        <v>864</v>
      </c>
      <c r="L1091" s="43" t="s">
        <v>5741</v>
      </c>
      <c r="P1091" s="41">
        <v>10</v>
      </c>
      <c r="Q1091" s="41">
        <v>1</v>
      </c>
      <c r="R1091" s="41">
        <v>66</v>
      </c>
      <c r="S1091" s="15" t="s">
        <v>1547</v>
      </c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t="s">
        <v>359</v>
      </c>
    </row>
    <row r="1092" spans="1:34" ht="15.75">
      <c r="A1092" s="29">
        <f t="shared" si="17"/>
        <v>394</v>
      </c>
      <c r="B1092" s="15">
        <v>847</v>
      </c>
      <c r="C1092" s="2">
        <v>6</v>
      </c>
      <c r="D1092" s="2">
        <v>1817</v>
      </c>
      <c r="E1092">
        <v>4062</v>
      </c>
      <c r="F1092" s="15"/>
      <c r="G1092" s="15"/>
      <c r="H1092" s="15" t="s">
        <v>1549</v>
      </c>
      <c r="I1092" s="15">
        <v>394</v>
      </c>
      <c r="J1092" s="15">
        <v>0</v>
      </c>
      <c r="K1092" s="15" t="s">
        <v>864</v>
      </c>
      <c r="L1092" s="43" t="s">
        <v>5741</v>
      </c>
      <c r="P1092" s="41">
        <v>9</v>
      </c>
      <c r="Q1092" s="41">
        <v>7</v>
      </c>
      <c r="R1092" s="41" t="s">
        <v>868</v>
      </c>
      <c r="S1092" s="15" t="s">
        <v>1547</v>
      </c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t="s">
        <v>359</v>
      </c>
    </row>
    <row r="1093" spans="1:34" ht="15.75">
      <c r="A1093" s="29">
        <f t="shared" si="17"/>
        <v>229</v>
      </c>
      <c r="B1093" s="15">
        <v>848</v>
      </c>
      <c r="C1093" s="2">
        <v>6</v>
      </c>
      <c r="D1093" s="2">
        <v>1817</v>
      </c>
      <c r="E1093">
        <v>4063</v>
      </c>
      <c r="F1093" s="15"/>
      <c r="G1093" s="15"/>
      <c r="H1093" s="15" t="s">
        <v>850</v>
      </c>
      <c r="I1093" s="15">
        <v>229</v>
      </c>
      <c r="J1093" s="15">
        <v>0</v>
      </c>
      <c r="K1093" s="15" t="s">
        <v>875</v>
      </c>
      <c r="L1093" s="43" t="s">
        <v>2447</v>
      </c>
      <c r="P1093" s="41">
        <v>8</v>
      </c>
      <c r="Q1093" s="41">
        <v>1</v>
      </c>
      <c r="R1093" s="41">
        <v>89</v>
      </c>
      <c r="S1093" s="15" t="s">
        <v>1547</v>
      </c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t="s">
        <v>359</v>
      </c>
    </row>
    <row r="1094" spans="1:34" ht="15.75">
      <c r="A1094" s="29">
        <f t="shared" si="17"/>
        <v>4484</v>
      </c>
      <c r="B1094" s="15">
        <v>848</v>
      </c>
      <c r="C1094" s="2">
        <v>6</v>
      </c>
      <c r="D1094" s="2">
        <v>1817</v>
      </c>
      <c r="E1094">
        <v>4064</v>
      </c>
      <c r="F1094" s="15"/>
      <c r="G1094" s="15"/>
      <c r="H1094" s="15" t="s">
        <v>850</v>
      </c>
      <c r="I1094" s="15">
        <v>4484</v>
      </c>
      <c r="J1094" s="15">
        <v>0</v>
      </c>
      <c r="K1094" s="15" t="s">
        <v>875</v>
      </c>
      <c r="L1094" s="43" t="s">
        <v>3679</v>
      </c>
      <c r="P1094" s="41">
        <v>25</v>
      </c>
      <c r="Q1094" s="41">
        <v>10</v>
      </c>
      <c r="R1094" s="41" t="s">
        <v>868</v>
      </c>
      <c r="S1094" t="s">
        <v>3321</v>
      </c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t="s">
        <v>359</v>
      </c>
    </row>
    <row r="1095" spans="1:34" ht="15.75">
      <c r="A1095" s="29">
        <f t="shared" si="17"/>
        <v>484</v>
      </c>
      <c r="B1095" s="15">
        <v>848</v>
      </c>
      <c r="C1095" s="2">
        <v>6</v>
      </c>
      <c r="D1095" s="2">
        <v>1817</v>
      </c>
      <c r="E1095">
        <v>4065</v>
      </c>
      <c r="F1095" s="15"/>
      <c r="G1095" s="15"/>
      <c r="H1095" s="15" t="s">
        <v>850</v>
      </c>
      <c r="I1095" s="15">
        <v>484</v>
      </c>
      <c r="J1095" s="15">
        <v>0</v>
      </c>
      <c r="K1095" s="15" t="s">
        <v>875</v>
      </c>
      <c r="L1095" s="43" t="s">
        <v>2448</v>
      </c>
      <c r="P1095" s="41">
        <v>25</v>
      </c>
      <c r="Q1095" s="41">
        <v>10</v>
      </c>
      <c r="R1095" s="41" t="s">
        <v>868</v>
      </c>
      <c r="S1095" t="s">
        <v>3321</v>
      </c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t="s">
        <v>359</v>
      </c>
    </row>
    <row r="1096" spans="1:34" ht="15.75">
      <c r="A1096" s="29">
        <f t="shared" si="17"/>
        <v>37213</v>
      </c>
      <c r="B1096" s="15">
        <v>849</v>
      </c>
      <c r="C1096" s="2">
        <v>6</v>
      </c>
      <c r="D1096" s="2">
        <v>1817</v>
      </c>
      <c r="E1096">
        <v>4066</v>
      </c>
      <c r="F1096" s="15"/>
      <c r="G1096" s="15"/>
      <c r="H1096" s="15" t="s">
        <v>1549</v>
      </c>
      <c r="I1096" s="15">
        <v>37213</v>
      </c>
      <c r="J1096" s="15">
        <v>0</v>
      </c>
      <c r="K1096" s="15" t="s">
        <v>850</v>
      </c>
      <c r="L1096" s="43" t="s">
        <v>2449</v>
      </c>
      <c r="M1096" s="41" t="s">
        <v>3694</v>
      </c>
      <c r="N1096" s="41" t="s">
        <v>2450</v>
      </c>
      <c r="O1096" s="41" t="s">
        <v>2451</v>
      </c>
      <c r="P1096" s="41">
        <v>30</v>
      </c>
      <c r="Q1096" s="41">
        <v>12</v>
      </c>
      <c r="R1096" s="41" t="s">
        <v>868</v>
      </c>
      <c r="S1096" s="15" t="s">
        <v>1547</v>
      </c>
      <c r="T1096" s="15" t="s">
        <v>969</v>
      </c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t="s">
        <v>359</v>
      </c>
    </row>
    <row r="1097" spans="1:34" ht="15.75">
      <c r="A1097" s="29">
        <f t="shared" si="17"/>
        <v>65</v>
      </c>
      <c r="B1097" s="15">
        <v>849</v>
      </c>
      <c r="C1097" s="2">
        <v>6</v>
      </c>
      <c r="D1097" s="2">
        <v>1817</v>
      </c>
      <c r="E1097">
        <v>4067</v>
      </c>
      <c r="F1097" s="15"/>
      <c r="G1097" s="15"/>
      <c r="H1097" t="s">
        <v>850</v>
      </c>
      <c r="I1097" s="15">
        <v>65</v>
      </c>
      <c r="J1097" s="15">
        <v>0</v>
      </c>
      <c r="K1097" s="15" t="s">
        <v>850</v>
      </c>
      <c r="L1097" s="43" t="s">
        <v>2452</v>
      </c>
      <c r="N1097" s="41" t="s">
        <v>999</v>
      </c>
      <c r="O1097" s="41" t="s">
        <v>999</v>
      </c>
      <c r="P1097" s="41">
        <v>27</v>
      </c>
      <c r="Q1097" s="41">
        <v>1</v>
      </c>
      <c r="R1097" s="41" t="s">
        <v>1547</v>
      </c>
      <c r="S1097" t="s">
        <v>1547</v>
      </c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t="s">
        <v>359</v>
      </c>
    </row>
    <row r="1098" spans="1:34" ht="15.75">
      <c r="A1098" s="29">
        <f t="shared" si="17"/>
        <v>27060</v>
      </c>
      <c r="B1098" s="15">
        <v>849</v>
      </c>
      <c r="C1098" s="2">
        <v>6</v>
      </c>
      <c r="D1098" s="2">
        <v>1817</v>
      </c>
      <c r="E1098">
        <v>4068</v>
      </c>
      <c r="F1098" s="15"/>
      <c r="G1098" s="15"/>
      <c r="H1098" t="s">
        <v>1549</v>
      </c>
      <c r="I1098" s="15">
        <v>0</v>
      </c>
      <c r="J1098" s="15">
        <f>453+900</f>
        <v>1353</v>
      </c>
      <c r="K1098" s="15" t="s">
        <v>850</v>
      </c>
      <c r="L1098" s="43" t="s">
        <v>2453</v>
      </c>
      <c r="M1098" s="41" t="s">
        <v>1689</v>
      </c>
      <c r="N1098" s="41" t="s">
        <v>4213</v>
      </c>
      <c r="O1098" s="41" t="s">
        <v>2454</v>
      </c>
      <c r="P1098" s="41">
        <v>13</v>
      </c>
      <c r="Q1098" s="41">
        <v>1</v>
      </c>
      <c r="R1098" s="41">
        <v>70</v>
      </c>
      <c r="S1098" t="s">
        <v>3321</v>
      </c>
      <c r="T1098" s="15" t="s">
        <v>2455</v>
      </c>
      <c r="U1098" s="15"/>
      <c r="V1098" s="15" t="s">
        <v>2456</v>
      </c>
      <c r="W1098" s="15" t="s">
        <v>999</v>
      </c>
      <c r="X1098" s="15">
        <v>1</v>
      </c>
      <c r="Y1098" s="15" t="s">
        <v>2457</v>
      </c>
      <c r="Z1098" s="15"/>
      <c r="AA1098" s="15"/>
      <c r="AB1098" s="15"/>
      <c r="AC1098" s="15"/>
      <c r="AD1098" s="15"/>
      <c r="AE1098" s="15"/>
      <c r="AF1098" s="15"/>
      <c r="AG1098" s="15"/>
      <c r="AH1098" t="s">
        <v>359</v>
      </c>
    </row>
    <row r="1099" spans="1:34" ht="15.75">
      <c r="A1099" s="29">
        <f t="shared" si="17"/>
        <v>48</v>
      </c>
      <c r="B1099" s="15">
        <v>849</v>
      </c>
      <c r="C1099" s="2">
        <v>6</v>
      </c>
      <c r="D1099" s="2">
        <v>1817</v>
      </c>
      <c r="E1099">
        <v>4069</v>
      </c>
      <c r="F1099" s="15"/>
      <c r="G1099" s="15"/>
      <c r="H1099" t="s">
        <v>850</v>
      </c>
      <c r="I1099" s="15">
        <v>48</v>
      </c>
      <c r="J1099" s="15">
        <v>0</v>
      </c>
      <c r="K1099" s="15" t="s">
        <v>850</v>
      </c>
      <c r="L1099" s="43" t="s">
        <v>5745</v>
      </c>
      <c r="P1099" s="41">
        <v>19</v>
      </c>
      <c r="Q1099" s="41">
        <v>3</v>
      </c>
      <c r="R1099" s="41" t="s">
        <v>868</v>
      </c>
      <c r="S1099" t="s">
        <v>3321</v>
      </c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t="s">
        <v>359</v>
      </c>
    </row>
    <row r="1100" spans="1:34" ht="15.75">
      <c r="A1100" s="29">
        <f t="shared" si="17"/>
        <v>20893</v>
      </c>
      <c r="B1100" s="15">
        <v>849</v>
      </c>
      <c r="C1100" s="2">
        <v>6</v>
      </c>
      <c r="D1100" s="2">
        <v>1817</v>
      </c>
      <c r="E1100">
        <v>4070</v>
      </c>
      <c r="F1100" s="15"/>
      <c r="G1100" s="15"/>
      <c r="H1100" t="s">
        <v>850</v>
      </c>
      <c r="I1100" s="15">
        <v>20893</v>
      </c>
      <c r="J1100" s="15">
        <v>0</v>
      </c>
      <c r="K1100" s="15" t="s">
        <v>850</v>
      </c>
      <c r="L1100" s="43" t="s">
        <v>2458</v>
      </c>
      <c r="M1100" s="41" t="s">
        <v>2459</v>
      </c>
      <c r="O1100" s="41" t="s">
        <v>2460</v>
      </c>
      <c r="P1100" s="41">
        <v>25</v>
      </c>
      <c r="Q1100" s="41">
        <v>6</v>
      </c>
      <c r="R1100" s="41">
        <v>38</v>
      </c>
      <c r="S1100" t="s">
        <v>3321</v>
      </c>
      <c r="T1100" s="15" t="s">
        <v>2461</v>
      </c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t="s">
        <v>359</v>
      </c>
    </row>
    <row r="1101" spans="1:34" ht="15.75">
      <c r="A1101" s="29">
        <f t="shared" si="17"/>
        <v>1400</v>
      </c>
      <c r="B1101" s="15">
        <v>849</v>
      </c>
      <c r="C1101" s="2">
        <v>6</v>
      </c>
      <c r="D1101" s="2">
        <v>1817</v>
      </c>
      <c r="E1101">
        <v>4071</v>
      </c>
      <c r="F1101" s="15"/>
      <c r="G1101" s="15"/>
      <c r="H1101" t="s">
        <v>850</v>
      </c>
      <c r="I1101" s="15">
        <v>1400</v>
      </c>
      <c r="J1101" s="15">
        <v>0</v>
      </c>
      <c r="K1101" s="15" t="s">
        <v>850</v>
      </c>
      <c r="L1101" s="43" t="s">
        <v>5745</v>
      </c>
      <c r="P1101" s="41">
        <v>26</v>
      </c>
      <c r="Q1101" s="41">
        <v>10</v>
      </c>
      <c r="R1101" s="41">
        <v>35</v>
      </c>
      <c r="S1101" t="s">
        <v>3321</v>
      </c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t="s">
        <v>359</v>
      </c>
    </row>
    <row r="1102" spans="1:34" ht="15.75">
      <c r="A1102" s="29">
        <f t="shared" si="17"/>
        <v>155</v>
      </c>
      <c r="B1102" s="15">
        <v>849</v>
      </c>
      <c r="C1102" s="2">
        <v>6</v>
      </c>
      <c r="D1102" s="2">
        <v>1817</v>
      </c>
      <c r="E1102">
        <v>4072</v>
      </c>
      <c r="F1102" s="15"/>
      <c r="G1102" s="15"/>
      <c r="H1102" t="s">
        <v>850</v>
      </c>
      <c r="I1102" s="15">
        <v>155</v>
      </c>
      <c r="J1102" s="15">
        <v>0</v>
      </c>
      <c r="K1102" s="15" t="s">
        <v>850</v>
      </c>
      <c r="L1102" s="43" t="s">
        <v>2462</v>
      </c>
      <c r="P1102" s="41">
        <v>20</v>
      </c>
      <c r="Q1102" s="41">
        <v>7</v>
      </c>
      <c r="R1102" s="41">
        <v>31</v>
      </c>
      <c r="S1102" t="s">
        <v>3321</v>
      </c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t="s">
        <v>359</v>
      </c>
    </row>
    <row r="1103" spans="1:34" ht="15.75">
      <c r="A1103" s="29">
        <f t="shared" si="17"/>
        <v>145</v>
      </c>
      <c r="B1103" s="15">
        <v>849</v>
      </c>
      <c r="C1103" s="2">
        <v>6</v>
      </c>
      <c r="D1103" s="2">
        <v>1817</v>
      </c>
      <c r="E1103">
        <v>4073</v>
      </c>
      <c r="F1103" s="15"/>
      <c r="G1103" s="15"/>
      <c r="H1103" t="s">
        <v>1549</v>
      </c>
      <c r="I1103" s="15">
        <v>145</v>
      </c>
      <c r="J1103" s="15">
        <v>0</v>
      </c>
      <c r="K1103" s="15" t="s">
        <v>850</v>
      </c>
      <c r="L1103" s="43" t="s">
        <v>5949</v>
      </c>
      <c r="P1103" s="41">
        <v>16</v>
      </c>
      <c r="Q1103" s="41">
        <v>7</v>
      </c>
      <c r="R1103" s="41">
        <v>51</v>
      </c>
      <c r="S1103" t="s">
        <v>3321</v>
      </c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t="s">
        <v>359</v>
      </c>
    </row>
    <row r="1104" spans="1:34" ht="15.75">
      <c r="A1104" s="29">
        <f t="shared" si="17"/>
        <v>43</v>
      </c>
      <c r="B1104" s="15">
        <v>849</v>
      </c>
      <c r="C1104" s="2">
        <v>6</v>
      </c>
      <c r="D1104" s="2">
        <v>1817</v>
      </c>
      <c r="E1104">
        <v>4074</v>
      </c>
      <c r="F1104" s="15"/>
      <c r="G1104" s="15"/>
      <c r="H1104" t="s">
        <v>1549</v>
      </c>
      <c r="I1104" s="15">
        <v>43</v>
      </c>
      <c r="J1104" s="15">
        <v>0</v>
      </c>
      <c r="K1104" s="15" t="s">
        <v>850</v>
      </c>
      <c r="L1104" s="43" t="s">
        <v>5749</v>
      </c>
      <c r="P1104" s="41">
        <v>31</v>
      </c>
      <c r="Q1104" s="41">
        <v>10</v>
      </c>
      <c r="R1104" s="41" t="s">
        <v>868</v>
      </c>
      <c r="S1104" s="15" t="s">
        <v>1547</v>
      </c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t="s">
        <v>359</v>
      </c>
    </row>
    <row r="1105" spans="1:34" ht="15.75">
      <c r="A1105" s="29">
        <f t="shared" si="17"/>
        <v>155</v>
      </c>
      <c r="B1105" s="15">
        <v>850</v>
      </c>
      <c r="C1105" s="2">
        <v>6</v>
      </c>
      <c r="D1105" s="2">
        <v>1817</v>
      </c>
      <c r="E1105">
        <v>4075</v>
      </c>
      <c r="F1105" s="15"/>
      <c r="G1105" s="15"/>
      <c r="H1105" t="s">
        <v>850</v>
      </c>
      <c r="I1105" s="15">
        <v>155</v>
      </c>
      <c r="J1105" s="15">
        <v>0</v>
      </c>
      <c r="K1105" s="15" t="s">
        <v>850</v>
      </c>
      <c r="L1105" s="43" t="s">
        <v>5751</v>
      </c>
      <c r="P1105" s="41">
        <v>27</v>
      </c>
      <c r="Q1105" s="41">
        <v>1</v>
      </c>
      <c r="R1105" s="41">
        <v>56</v>
      </c>
      <c r="S1105" t="s">
        <v>3321</v>
      </c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t="s">
        <v>359</v>
      </c>
    </row>
    <row r="1106" spans="1:34" ht="15.75">
      <c r="A1106" s="29">
        <f t="shared" si="17"/>
        <v>7000</v>
      </c>
      <c r="B1106" s="15">
        <v>850</v>
      </c>
      <c r="C1106" s="2">
        <v>6</v>
      </c>
      <c r="D1106" s="2">
        <v>1817</v>
      </c>
      <c r="E1106">
        <v>4076</v>
      </c>
      <c r="F1106" s="15"/>
      <c r="G1106" s="15"/>
      <c r="H1106" t="s">
        <v>1549</v>
      </c>
      <c r="I1106" s="15">
        <v>0</v>
      </c>
      <c r="J1106" s="15">
        <v>350</v>
      </c>
      <c r="K1106" s="15" t="s">
        <v>850</v>
      </c>
      <c r="L1106" s="43" t="s">
        <v>5752</v>
      </c>
      <c r="P1106" s="41">
        <v>11</v>
      </c>
      <c r="Q1106" s="41">
        <v>10</v>
      </c>
      <c r="R1106" s="41" t="s">
        <v>868</v>
      </c>
      <c r="S1106" s="15" t="s">
        <v>1547</v>
      </c>
      <c r="T1106" s="15"/>
      <c r="U1106" s="15"/>
      <c r="V1106" s="15"/>
      <c r="W1106" s="15"/>
      <c r="X1106" s="15">
        <v>1</v>
      </c>
      <c r="Y1106" s="15" t="s">
        <v>2463</v>
      </c>
      <c r="Z1106" s="15"/>
      <c r="AA1106" s="15"/>
      <c r="AB1106" s="15"/>
      <c r="AC1106" s="15"/>
      <c r="AD1106" s="15"/>
      <c r="AE1106" s="15"/>
      <c r="AF1106" s="15"/>
      <c r="AG1106" s="15"/>
      <c r="AH1106" t="s">
        <v>359</v>
      </c>
    </row>
    <row r="1107" spans="1:34" ht="15.75">
      <c r="A1107" s="29">
        <f t="shared" si="17"/>
        <v>179</v>
      </c>
      <c r="B1107" s="15">
        <v>850</v>
      </c>
      <c r="C1107" s="2">
        <v>6</v>
      </c>
      <c r="D1107" s="2">
        <v>1817</v>
      </c>
      <c r="E1107">
        <v>4077</v>
      </c>
      <c r="F1107" s="15"/>
      <c r="G1107" s="15"/>
      <c r="H1107" t="s">
        <v>850</v>
      </c>
      <c r="I1107" s="15">
        <v>179</v>
      </c>
      <c r="J1107" s="15">
        <v>0</v>
      </c>
      <c r="K1107" s="15" t="s">
        <v>850</v>
      </c>
      <c r="L1107" s="43" t="s">
        <v>5950</v>
      </c>
      <c r="P1107" s="41">
        <v>27</v>
      </c>
      <c r="Q1107" s="41">
        <v>12</v>
      </c>
      <c r="R1107" s="41">
        <v>33</v>
      </c>
      <c r="S1107" t="s">
        <v>3321</v>
      </c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t="s">
        <v>359</v>
      </c>
    </row>
    <row r="1108" spans="1:34" ht="15.75">
      <c r="A1108" s="29">
        <f t="shared" si="17"/>
        <v>3000</v>
      </c>
      <c r="B1108" s="15">
        <v>850</v>
      </c>
      <c r="C1108" s="2">
        <v>6</v>
      </c>
      <c r="D1108" s="2">
        <v>1817</v>
      </c>
      <c r="E1108">
        <v>4078</v>
      </c>
      <c r="F1108" s="15"/>
      <c r="G1108" s="15"/>
      <c r="H1108" t="s">
        <v>850</v>
      </c>
      <c r="I1108" s="15">
        <v>3000</v>
      </c>
      <c r="J1108" s="15">
        <v>0</v>
      </c>
      <c r="K1108" s="15" t="s">
        <v>850</v>
      </c>
      <c r="L1108" s="43" t="s">
        <v>5754</v>
      </c>
      <c r="P1108" s="41">
        <v>11</v>
      </c>
      <c r="Q1108" s="41">
        <v>9</v>
      </c>
      <c r="R1108" s="41">
        <v>47</v>
      </c>
      <c r="S1108" t="s">
        <v>3321</v>
      </c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t="s">
        <v>359</v>
      </c>
    </row>
    <row r="1109" spans="1:34" ht="15.75">
      <c r="A1109" s="29">
        <f t="shared" si="17"/>
        <v>600</v>
      </c>
      <c r="B1109" s="15">
        <v>850</v>
      </c>
      <c r="C1109" s="2">
        <v>6</v>
      </c>
      <c r="D1109" s="2">
        <v>1817</v>
      </c>
      <c r="E1109">
        <v>4079</v>
      </c>
      <c r="F1109" s="15"/>
      <c r="G1109" s="15"/>
      <c r="H1109" t="s">
        <v>1549</v>
      </c>
      <c r="I1109" s="15">
        <v>600</v>
      </c>
      <c r="J1109" s="15">
        <v>0</v>
      </c>
      <c r="K1109" s="15" t="s">
        <v>850</v>
      </c>
      <c r="L1109" s="43" t="s">
        <v>5754</v>
      </c>
      <c r="P1109" s="41">
        <v>14</v>
      </c>
      <c r="Q1109" s="41">
        <v>4</v>
      </c>
      <c r="R1109" s="41">
        <v>71</v>
      </c>
      <c r="S1109" t="s">
        <v>3321</v>
      </c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t="s">
        <v>359</v>
      </c>
    </row>
    <row r="1110" spans="1:34" ht="15.75">
      <c r="A1110" s="39">
        <f t="shared" si="17"/>
        <v>8559</v>
      </c>
      <c r="B1110" s="15">
        <v>850</v>
      </c>
      <c r="C1110" s="2">
        <v>6</v>
      </c>
      <c r="D1110" s="2">
        <v>1817</v>
      </c>
      <c r="E1110">
        <v>4081</v>
      </c>
      <c r="F1110" s="15"/>
      <c r="G1110" s="15"/>
      <c r="H1110" t="s">
        <v>850</v>
      </c>
      <c r="I1110" s="15">
        <v>339</v>
      </c>
      <c r="J1110" s="15">
        <v>411</v>
      </c>
      <c r="K1110" s="15" t="s">
        <v>850</v>
      </c>
      <c r="L1110" s="43" t="s">
        <v>2468</v>
      </c>
      <c r="P1110" s="41">
        <v>31</v>
      </c>
      <c r="Q1110" s="41">
        <v>12</v>
      </c>
      <c r="R1110" s="41" t="s">
        <v>868</v>
      </c>
      <c r="S1110" t="s">
        <v>3321</v>
      </c>
      <c r="T1110" s="15"/>
      <c r="V1110" s="15"/>
      <c r="W1110" s="15"/>
      <c r="X1110" s="15">
        <v>1</v>
      </c>
      <c r="Y1110" s="15" t="s">
        <v>2469</v>
      </c>
      <c r="Z1110" s="15"/>
      <c r="AA1110" s="15"/>
      <c r="AB1110" s="15"/>
      <c r="AC1110" s="15"/>
      <c r="AD1110" s="15"/>
      <c r="AE1110" s="15"/>
      <c r="AF1110" s="15"/>
      <c r="AG1110" s="15"/>
      <c r="AH1110" t="s">
        <v>359</v>
      </c>
    </row>
    <row r="1111" spans="1:34" ht="15.75">
      <c r="A1111" s="29">
        <f t="shared" si="17"/>
        <v>13000</v>
      </c>
      <c r="B1111" s="15">
        <v>850</v>
      </c>
      <c r="C1111" s="2">
        <v>6</v>
      </c>
      <c r="D1111" s="2">
        <v>1817</v>
      </c>
      <c r="E1111">
        <v>4082</v>
      </c>
      <c r="F1111" s="15"/>
      <c r="G1111" s="15"/>
      <c r="H1111" t="s">
        <v>1549</v>
      </c>
      <c r="I1111" s="15">
        <v>13000</v>
      </c>
      <c r="J1111" s="15">
        <v>0</v>
      </c>
      <c r="K1111" s="15" t="s">
        <v>850</v>
      </c>
      <c r="L1111" s="43" t="s">
        <v>2468</v>
      </c>
      <c r="P1111" s="41">
        <v>16</v>
      </c>
      <c r="Q1111" s="41">
        <v>12</v>
      </c>
      <c r="R1111" s="41">
        <v>80</v>
      </c>
      <c r="S1111" s="15" t="s">
        <v>1547</v>
      </c>
      <c r="T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t="s">
        <v>359</v>
      </c>
    </row>
    <row r="1112" spans="1:34" ht="15.75">
      <c r="A1112" s="29">
        <f t="shared" si="17"/>
        <v>200</v>
      </c>
      <c r="B1112" s="15">
        <v>850</v>
      </c>
      <c r="C1112" s="2">
        <v>6</v>
      </c>
      <c r="D1112" s="2">
        <v>1817</v>
      </c>
      <c r="E1112">
        <v>4083</v>
      </c>
      <c r="F1112" s="15"/>
      <c r="G1112" s="15"/>
      <c r="H1112" t="s">
        <v>1549</v>
      </c>
      <c r="I1112" s="15">
        <v>200</v>
      </c>
      <c r="J1112" s="15">
        <v>0</v>
      </c>
      <c r="K1112" s="15" t="s">
        <v>850</v>
      </c>
      <c r="L1112" s="43" t="s">
        <v>5951</v>
      </c>
      <c r="P1112" s="41">
        <v>22</v>
      </c>
      <c r="Q1112" s="41">
        <v>9</v>
      </c>
      <c r="R1112" s="41">
        <v>58</v>
      </c>
      <c r="S1112" t="s">
        <v>3321</v>
      </c>
      <c r="T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t="s">
        <v>359</v>
      </c>
    </row>
    <row r="1113" spans="1:34" ht="15.75">
      <c r="A1113" s="29">
        <f t="shared" si="17"/>
        <v>268</v>
      </c>
      <c r="B1113" s="15">
        <v>850</v>
      </c>
      <c r="C1113" s="2">
        <v>6</v>
      </c>
      <c r="D1113" s="2">
        <v>1817</v>
      </c>
      <c r="E1113">
        <v>4084</v>
      </c>
      <c r="F1113" s="15"/>
      <c r="G1113" s="15"/>
      <c r="H1113" t="s">
        <v>850</v>
      </c>
      <c r="I1113" s="15">
        <v>268</v>
      </c>
      <c r="J1113" s="15">
        <v>0</v>
      </c>
      <c r="K1113" s="15" t="s">
        <v>850</v>
      </c>
      <c r="L1113" s="43" t="s">
        <v>5951</v>
      </c>
      <c r="P1113" s="41">
        <v>10</v>
      </c>
      <c r="Q1113" s="41">
        <v>7</v>
      </c>
      <c r="R1113" s="41" t="s">
        <v>868</v>
      </c>
      <c r="S1113" t="s">
        <v>3321</v>
      </c>
      <c r="T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t="s">
        <v>359</v>
      </c>
    </row>
    <row r="1114" spans="1:34" ht="15.75">
      <c r="A1114" s="29">
        <f t="shared" si="17"/>
        <v>100</v>
      </c>
      <c r="B1114" s="15">
        <v>851</v>
      </c>
      <c r="C1114" s="2">
        <v>6</v>
      </c>
      <c r="D1114" s="2">
        <v>1817</v>
      </c>
      <c r="E1114">
        <v>4085</v>
      </c>
      <c r="F1114" s="15"/>
      <c r="G1114" s="15"/>
      <c r="H1114" t="s">
        <v>850</v>
      </c>
      <c r="I1114" s="15">
        <v>100</v>
      </c>
      <c r="J1114" s="15">
        <v>0</v>
      </c>
      <c r="K1114" s="15" t="s">
        <v>850</v>
      </c>
      <c r="L1114" s="43" t="s">
        <v>5757</v>
      </c>
      <c r="P1114" s="41">
        <v>19</v>
      </c>
      <c r="Q1114" s="41">
        <v>6</v>
      </c>
      <c r="R1114" s="41">
        <v>46</v>
      </c>
      <c r="S1114" t="s">
        <v>3321</v>
      </c>
      <c r="T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t="s">
        <v>359</v>
      </c>
    </row>
    <row r="1115" spans="1:34" ht="15.75">
      <c r="A1115" s="29">
        <f t="shared" si="17"/>
        <v>200</v>
      </c>
      <c r="B1115" s="15">
        <v>851</v>
      </c>
      <c r="C1115" s="2">
        <v>6</v>
      </c>
      <c r="D1115" s="2">
        <v>1817</v>
      </c>
      <c r="E1115">
        <v>4088</v>
      </c>
      <c r="F1115" s="15"/>
      <c r="G1115" s="15"/>
      <c r="H1115" t="s">
        <v>850</v>
      </c>
      <c r="I1115" s="15">
        <v>200</v>
      </c>
      <c r="J1115" s="15">
        <v>0</v>
      </c>
      <c r="K1115" s="15" t="s">
        <v>850</v>
      </c>
      <c r="L1115" s="43" t="s">
        <v>5955</v>
      </c>
      <c r="P1115" s="41">
        <v>8</v>
      </c>
      <c r="Q1115" s="41">
        <v>5</v>
      </c>
      <c r="R1115" s="41">
        <v>71</v>
      </c>
      <c r="S1115" s="15" t="s">
        <v>3329</v>
      </c>
      <c r="T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t="s">
        <v>359</v>
      </c>
    </row>
    <row r="1116" spans="1:34" ht="15.75">
      <c r="A1116" s="29">
        <f t="shared" si="17"/>
        <v>489</v>
      </c>
      <c r="B1116" s="15">
        <v>851</v>
      </c>
      <c r="C1116" s="2">
        <v>6</v>
      </c>
      <c r="D1116" s="2">
        <v>1817</v>
      </c>
      <c r="E1116">
        <v>4089</v>
      </c>
      <c r="F1116" s="15"/>
      <c r="G1116" s="15"/>
      <c r="H1116" t="s">
        <v>850</v>
      </c>
      <c r="I1116" s="15">
        <v>489</v>
      </c>
      <c r="J1116" s="15">
        <v>0</v>
      </c>
      <c r="K1116" s="15" t="s">
        <v>865</v>
      </c>
      <c r="L1116" s="43" t="s">
        <v>3687</v>
      </c>
      <c r="P1116" s="41">
        <v>20</v>
      </c>
      <c r="Q1116" s="41">
        <v>2</v>
      </c>
      <c r="R1116" s="41">
        <v>46</v>
      </c>
      <c r="S1116" t="s">
        <v>3321</v>
      </c>
      <c r="T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t="s">
        <v>359</v>
      </c>
    </row>
    <row r="1117" spans="1:34" ht="15.75">
      <c r="A1117" s="29">
        <f t="shared" si="17"/>
        <v>14000</v>
      </c>
      <c r="B1117" s="15">
        <v>852</v>
      </c>
      <c r="C1117" s="15">
        <v>6</v>
      </c>
      <c r="D1117" s="2">
        <v>1817</v>
      </c>
      <c r="E1117">
        <v>4090</v>
      </c>
      <c r="F1117" s="15"/>
      <c r="G1117" s="15"/>
      <c r="H1117" s="15" t="s">
        <v>1549</v>
      </c>
      <c r="I1117" s="15">
        <v>14000</v>
      </c>
      <c r="J1117" s="15">
        <v>0</v>
      </c>
      <c r="K1117" s="15" t="s">
        <v>850</v>
      </c>
      <c r="L1117" s="43" t="s">
        <v>1420</v>
      </c>
      <c r="P1117" s="41">
        <v>20</v>
      </c>
      <c r="Q1117" s="41">
        <v>1</v>
      </c>
      <c r="R1117" s="41" t="s">
        <v>868</v>
      </c>
      <c r="S1117" t="s">
        <v>3321</v>
      </c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t="s">
        <v>359</v>
      </c>
    </row>
    <row r="1118" spans="1:34" ht="15.75">
      <c r="A1118" s="29">
        <f t="shared" si="17"/>
        <v>1020</v>
      </c>
      <c r="B1118" s="15">
        <v>853</v>
      </c>
      <c r="C1118" s="15">
        <v>6</v>
      </c>
      <c r="D1118" s="2">
        <v>1817</v>
      </c>
      <c r="E1118">
        <v>4124</v>
      </c>
      <c r="F1118" s="15"/>
      <c r="G1118" s="15"/>
      <c r="H1118" s="15" t="s">
        <v>1541</v>
      </c>
      <c r="I1118" s="15">
        <v>1020</v>
      </c>
      <c r="J1118" s="15">
        <v>0</v>
      </c>
      <c r="K1118" s="15" t="s">
        <v>865</v>
      </c>
      <c r="L1118" s="43" t="s">
        <v>1424</v>
      </c>
      <c r="P1118" s="41">
        <v>10</v>
      </c>
      <c r="Q1118" s="41">
        <v>8</v>
      </c>
      <c r="R1118" s="41" t="s">
        <v>868</v>
      </c>
      <c r="S1118" t="s">
        <v>1547</v>
      </c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t="s">
        <v>359</v>
      </c>
    </row>
    <row r="1119" spans="1:34" ht="15.75">
      <c r="A1119" s="29">
        <f t="shared" si="17"/>
        <v>17167</v>
      </c>
      <c r="B1119" s="18">
        <v>853</v>
      </c>
      <c r="C1119" s="15">
        <v>6</v>
      </c>
      <c r="D1119" s="2">
        <v>1817</v>
      </c>
      <c r="E1119">
        <v>4125</v>
      </c>
      <c r="F1119" s="18"/>
      <c r="G1119" s="18"/>
      <c r="H1119" s="18" t="s">
        <v>1540</v>
      </c>
      <c r="I1119" s="18">
        <v>17167</v>
      </c>
      <c r="J1119" s="18">
        <v>0</v>
      </c>
      <c r="K1119" s="15" t="s">
        <v>865</v>
      </c>
      <c r="L1119" s="43" t="s">
        <v>4842</v>
      </c>
      <c r="M1119" s="41" t="s">
        <v>4843</v>
      </c>
      <c r="O1119" s="41" t="s">
        <v>4844</v>
      </c>
      <c r="P1119" s="41">
        <v>10</v>
      </c>
      <c r="Q1119" s="41">
        <v>12</v>
      </c>
      <c r="S1119" s="15" t="s">
        <v>1547</v>
      </c>
      <c r="T1119" s="15" t="s">
        <v>3440</v>
      </c>
      <c r="U1119" s="15"/>
      <c r="V1119" s="15" t="s">
        <v>1200</v>
      </c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t="s">
        <v>359</v>
      </c>
    </row>
    <row r="1120" spans="1:34" ht="15.75">
      <c r="A1120" s="29">
        <f t="shared" si="17"/>
        <v>840</v>
      </c>
      <c r="B1120" s="15">
        <v>853</v>
      </c>
      <c r="C1120" s="15">
        <v>6</v>
      </c>
      <c r="D1120" s="2">
        <v>1817</v>
      </c>
      <c r="E1120">
        <v>4126</v>
      </c>
      <c r="F1120" s="15"/>
      <c r="G1120" s="15"/>
      <c r="H1120" s="15" t="s">
        <v>1541</v>
      </c>
      <c r="I1120" s="15">
        <v>840</v>
      </c>
      <c r="J1120" s="15">
        <v>0</v>
      </c>
      <c r="K1120" s="15" t="s">
        <v>865</v>
      </c>
      <c r="L1120" s="43" t="s">
        <v>4845</v>
      </c>
      <c r="P1120" s="41">
        <v>2</v>
      </c>
      <c r="Q1120" s="41">
        <v>1</v>
      </c>
      <c r="R1120" s="41">
        <v>38</v>
      </c>
      <c r="S1120" s="15" t="s">
        <v>3343</v>
      </c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t="s">
        <v>359</v>
      </c>
    </row>
    <row r="1121" spans="1:34" ht="15.75">
      <c r="A1121" s="29">
        <f t="shared" si="17"/>
        <v>186</v>
      </c>
      <c r="B1121" s="15">
        <v>853</v>
      </c>
      <c r="C1121" s="15">
        <v>6</v>
      </c>
      <c r="D1121" s="2">
        <v>1817</v>
      </c>
      <c r="E1121">
        <v>4127</v>
      </c>
      <c r="F1121" s="15"/>
      <c r="G1121" s="15"/>
      <c r="H1121" s="15" t="s">
        <v>1540</v>
      </c>
      <c r="I1121" s="15">
        <v>186</v>
      </c>
      <c r="J1121" s="15">
        <v>0</v>
      </c>
      <c r="K1121" s="15" t="s">
        <v>865</v>
      </c>
      <c r="L1121" s="43" t="s">
        <v>1438</v>
      </c>
      <c r="P1121" s="41">
        <v>19</v>
      </c>
      <c r="Q1121" s="41">
        <v>1</v>
      </c>
      <c r="R1121" s="41" t="s">
        <v>868</v>
      </c>
      <c r="S1121" s="15" t="s">
        <v>3343</v>
      </c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t="s">
        <v>359</v>
      </c>
    </row>
    <row r="1122" spans="1:34" ht="15.75">
      <c r="A1122" s="29">
        <f t="shared" si="17"/>
        <v>200</v>
      </c>
      <c r="B1122" s="15">
        <v>853</v>
      </c>
      <c r="C1122" s="15">
        <v>6</v>
      </c>
      <c r="D1122" s="2">
        <v>1817</v>
      </c>
      <c r="E1122">
        <v>4128</v>
      </c>
      <c r="F1122" s="15"/>
      <c r="G1122" s="15"/>
      <c r="H1122" s="15" t="s">
        <v>1541</v>
      </c>
      <c r="I1122" s="15">
        <v>200</v>
      </c>
      <c r="J1122" s="15">
        <v>0</v>
      </c>
      <c r="K1122" s="15" t="s">
        <v>865</v>
      </c>
      <c r="L1122" s="43" t="s">
        <v>1440</v>
      </c>
      <c r="P1122" s="41">
        <v>27</v>
      </c>
      <c r="Q1122" s="41">
        <v>3</v>
      </c>
      <c r="R1122" s="41">
        <v>57</v>
      </c>
      <c r="S1122" t="s">
        <v>3321</v>
      </c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t="s">
        <v>359</v>
      </c>
    </row>
    <row r="1123" spans="1:34" ht="15.75">
      <c r="A1123" s="29">
        <f t="shared" si="17"/>
        <v>306</v>
      </c>
      <c r="B1123" s="15">
        <v>853</v>
      </c>
      <c r="C1123" s="15">
        <v>6</v>
      </c>
      <c r="D1123" s="2">
        <v>1817</v>
      </c>
      <c r="E1123">
        <v>4129</v>
      </c>
      <c r="F1123" s="15"/>
      <c r="G1123" s="15"/>
      <c r="H1123" s="15" t="s">
        <v>1540</v>
      </c>
      <c r="I1123" s="15">
        <v>306</v>
      </c>
      <c r="J1123" s="15">
        <v>0</v>
      </c>
      <c r="K1123" s="15" t="s">
        <v>865</v>
      </c>
      <c r="L1123" s="43" t="s">
        <v>1440</v>
      </c>
      <c r="P1123" s="41">
        <v>4</v>
      </c>
      <c r="Q1123" s="41">
        <v>4</v>
      </c>
      <c r="R1123" s="41">
        <v>55</v>
      </c>
      <c r="S1123" t="s">
        <v>3321</v>
      </c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t="s">
        <v>359</v>
      </c>
    </row>
    <row r="1124" spans="1:34" ht="15.75">
      <c r="A1124" s="29">
        <f t="shared" si="17"/>
        <v>93</v>
      </c>
      <c r="B1124" s="15">
        <v>853</v>
      </c>
      <c r="C1124" s="15">
        <v>6</v>
      </c>
      <c r="D1124" s="2">
        <v>1817</v>
      </c>
      <c r="E1124">
        <v>4130</v>
      </c>
      <c r="F1124" s="15"/>
      <c r="G1124" s="15"/>
      <c r="H1124" s="15" t="s">
        <v>1540</v>
      </c>
      <c r="I1124" s="15">
        <v>93</v>
      </c>
      <c r="J1124" s="15">
        <v>0</v>
      </c>
      <c r="K1124" s="15" t="s">
        <v>865</v>
      </c>
      <c r="L1124" s="43" t="s">
        <v>4846</v>
      </c>
      <c r="P1124" s="41">
        <v>24</v>
      </c>
      <c r="Q1124" s="41">
        <v>12</v>
      </c>
      <c r="R1124" s="41">
        <v>85</v>
      </c>
      <c r="S1124" t="s">
        <v>3321</v>
      </c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t="s">
        <v>359</v>
      </c>
    </row>
    <row r="1125" spans="1:34" ht="15.75">
      <c r="A1125" s="39">
        <f t="shared" si="17"/>
        <v>9022</v>
      </c>
      <c r="B1125" s="15">
        <v>853</v>
      </c>
      <c r="C1125" s="15">
        <v>6</v>
      </c>
      <c r="D1125" s="2">
        <v>1817</v>
      </c>
      <c r="E1125">
        <v>4131</v>
      </c>
      <c r="F1125" s="15"/>
      <c r="G1125" s="15"/>
      <c r="H1125" s="15" t="s">
        <v>1540</v>
      </c>
      <c r="I1125" s="15">
        <v>9022</v>
      </c>
      <c r="J1125" s="15">
        <v>0</v>
      </c>
      <c r="K1125" s="15" t="s">
        <v>865</v>
      </c>
      <c r="L1125" s="43" t="s">
        <v>1429</v>
      </c>
      <c r="P1125" s="41">
        <v>1</v>
      </c>
      <c r="Q1125" s="41">
        <v>3</v>
      </c>
      <c r="R1125" s="41">
        <v>81</v>
      </c>
      <c r="S1125" t="s">
        <v>3321</v>
      </c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t="s">
        <v>359</v>
      </c>
    </row>
    <row r="1126" spans="1:34" ht="15.75">
      <c r="A1126" s="29">
        <f t="shared" si="17"/>
        <v>63</v>
      </c>
      <c r="B1126" s="15">
        <v>854</v>
      </c>
      <c r="C1126" s="15">
        <v>6</v>
      </c>
      <c r="D1126" s="2">
        <v>1817</v>
      </c>
      <c r="E1126">
        <v>4169</v>
      </c>
      <c r="F1126" s="15"/>
      <c r="G1126" s="15"/>
      <c r="H1126" s="15" t="s">
        <v>1540</v>
      </c>
      <c r="I1126" s="15">
        <v>63</v>
      </c>
      <c r="J1126" s="15">
        <v>0</v>
      </c>
      <c r="K1126" s="15" t="s">
        <v>865</v>
      </c>
      <c r="L1126" s="43" t="s">
        <v>5973</v>
      </c>
      <c r="P1126" s="41">
        <v>19</v>
      </c>
      <c r="Q1126" s="41">
        <v>2</v>
      </c>
      <c r="R1126" s="41">
        <v>52</v>
      </c>
      <c r="S1126" t="s">
        <v>3321</v>
      </c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t="s">
        <v>359</v>
      </c>
    </row>
    <row r="1127" spans="1:34" ht="15">
      <c r="A1127" s="29">
        <f t="shared" si="17"/>
        <v>133</v>
      </c>
      <c r="B1127" s="15">
        <v>854</v>
      </c>
      <c r="C1127" s="15">
        <v>6</v>
      </c>
      <c r="D1127" s="15">
        <v>1817</v>
      </c>
      <c r="E1127">
        <v>4170</v>
      </c>
      <c r="F1127" s="15"/>
      <c r="G1127" s="15"/>
      <c r="H1127" s="15" t="s">
        <v>4655</v>
      </c>
      <c r="I1127" s="15">
        <v>133</v>
      </c>
      <c r="J1127" s="15">
        <v>0</v>
      </c>
      <c r="K1127" s="15" t="s">
        <v>865</v>
      </c>
      <c r="L1127" s="43" t="s">
        <v>5980</v>
      </c>
      <c r="P1127" s="41">
        <v>14</v>
      </c>
      <c r="Q1127" s="41">
        <v>10</v>
      </c>
      <c r="R1127" s="41" t="s">
        <v>868</v>
      </c>
      <c r="S1127" t="s">
        <v>1547</v>
      </c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t="s">
        <v>359</v>
      </c>
    </row>
    <row r="1128" spans="1:34" ht="15.75">
      <c r="A1128" s="29">
        <f t="shared" si="17"/>
        <v>2772</v>
      </c>
      <c r="B1128" s="15">
        <v>854</v>
      </c>
      <c r="C1128" s="15">
        <v>6</v>
      </c>
      <c r="D1128" s="2">
        <v>1817</v>
      </c>
      <c r="E1128">
        <v>4171</v>
      </c>
      <c r="F1128" s="15"/>
      <c r="G1128" s="15"/>
      <c r="H1128" s="15" t="s">
        <v>1540</v>
      </c>
      <c r="I1128" s="15">
        <v>2772</v>
      </c>
      <c r="J1128" s="15">
        <v>0</v>
      </c>
      <c r="K1128" s="15" t="s">
        <v>865</v>
      </c>
      <c r="L1128" s="43" t="s">
        <v>5980</v>
      </c>
      <c r="P1128" s="41">
        <v>20</v>
      </c>
      <c r="Q1128" s="41">
        <v>7</v>
      </c>
      <c r="R1128" s="41" t="s">
        <v>868</v>
      </c>
      <c r="S1128" t="s">
        <v>3321</v>
      </c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t="s">
        <v>359</v>
      </c>
    </row>
    <row r="1129" spans="1:34" ht="15.75">
      <c r="A1129" s="29">
        <f t="shared" si="17"/>
        <v>21238</v>
      </c>
      <c r="B1129" s="18">
        <v>854</v>
      </c>
      <c r="C1129" s="15">
        <v>6</v>
      </c>
      <c r="D1129" s="2">
        <v>1817</v>
      </c>
      <c r="E1129">
        <v>4172</v>
      </c>
      <c r="F1129" s="18"/>
      <c r="G1129" s="18"/>
      <c r="H1129" s="18" t="s">
        <v>1541</v>
      </c>
      <c r="I1129" s="18">
        <v>21238</v>
      </c>
      <c r="J1129" s="18">
        <v>0</v>
      </c>
      <c r="K1129" s="15" t="s">
        <v>865</v>
      </c>
      <c r="L1129" s="43" t="s">
        <v>4847</v>
      </c>
      <c r="M1129" s="41" t="s">
        <v>4848</v>
      </c>
      <c r="O1129" s="41" t="s">
        <v>4849</v>
      </c>
      <c r="P1129" s="41">
        <v>9</v>
      </c>
      <c r="Q1129" s="41">
        <v>10</v>
      </c>
      <c r="S1129" t="s">
        <v>3343</v>
      </c>
      <c r="T1129" s="15" t="s">
        <v>4850</v>
      </c>
      <c r="U1129" s="15"/>
      <c r="V1129" s="15" t="s">
        <v>4851</v>
      </c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t="s">
        <v>359</v>
      </c>
    </row>
    <row r="1130" spans="1:34" ht="15.75">
      <c r="A1130" s="29">
        <f t="shared" si="17"/>
        <v>107700</v>
      </c>
      <c r="B1130" s="15">
        <v>854</v>
      </c>
      <c r="C1130" s="15">
        <v>6</v>
      </c>
      <c r="D1130" s="2">
        <v>1817</v>
      </c>
      <c r="E1130">
        <v>4173</v>
      </c>
      <c r="F1130" s="15"/>
      <c r="G1130" s="15"/>
      <c r="H1130" s="15" t="s">
        <v>1541</v>
      </c>
      <c r="I1130" s="15">
        <v>0</v>
      </c>
      <c r="J1130" s="15">
        <v>5385</v>
      </c>
      <c r="K1130" s="15" t="s">
        <v>865</v>
      </c>
      <c r="L1130" s="43" t="s">
        <v>4852</v>
      </c>
      <c r="M1130" s="41" t="s">
        <v>4853</v>
      </c>
      <c r="N1130" s="41" t="s">
        <v>3250</v>
      </c>
      <c r="O1130" s="41" t="s">
        <v>4854</v>
      </c>
      <c r="P1130" s="41">
        <v>24</v>
      </c>
      <c r="Q1130" s="41">
        <v>4</v>
      </c>
      <c r="R1130" s="41">
        <v>34</v>
      </c>
      <c r="S1130" s="15" t="s">
        <v>1547</v>
      </c>
      <c r="T1130" s="15" t="s">
        <v>4855</v>
      </c>
      <c r="U1130" s="15"/>
      <c r="V1130" s="15" t="s">
        <v>4856</v>
      </c>
      <c r="W1130" s="15"/>
      <c r="X1130" s="15">
        <v>1</v>
      </c>
      <c r="Y1130" s="15" t="s">
        <v>4857</v>
      </c>
      <c r="Z1130" s="15"/>
      <c r="AA1130" s="15"/>
      <c r="AB1130" s="15"/>
      <c r="AC1130" s="15"/>
      <c r="AD1130" s="15"/>
      <c r="AE1130" s="15"/>
      <c r="AF1130" s="15"/>
      <c r="AG1130" s="15"/>
      <c r="AH1130" t="s">
        <v>359</v>
      </c>
    </row>
    <row r="1131" spans="1:34" ht="15.75">
      <c r="A1131" s="29">
        <f t="shared" si="17"/>
        <v>417</v>
      </c>
      <c r="B1131" s="15">
        <v>854</v>
      </c>
      <c r="C1131" s="15">
        <v>6</v>
      </c>
      <c r="D1131" s="2">
        <v>1817</v>
      </c>
      <c r="E1131">
        <v>4174</v>
      </c>
      <c r="F1131" s="15"/>
      <c r="G1131" s="15"/>
      <c r="H1131" s="15" t="s">
        <v>1541</v>
      </c>
      <c r="I1131" s="15">
        <v>417</v>
      </c>
      <c r="J1131" s="15">
        <v>0</v>
      </c>
      <c r="K1131" s="15" t="s">
        <v>865</v>
      </c>
      <c r="L1131" s="43" t="s">
        <v>5983</v>
      </c>
      <c r="P1131" s="41">
        <v>21</v>
      </c>
      <c r="Q1131" s="41">
        <v>4</v>
      </c>
      <c r="R1131" s="41">
        <v>67</v>
      </c>
      <c r="S1131" s="15" t="s">
        <v>3329</v>
      </c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t="s">
        <v>359</v>
      </c>
    </row>
    <row r="1132" spans="1:34" ht="15">
      <c r="A1132" s="29">
        <f t="shared" si="17"/>
        <v>2737</v>
      </c>
      <c r="B1132" s="15">
        <v>854</v>
      </c>
      <c r="C1132" s="15">
        <v>6</v>
      </c>
      <c r="D1132" s="15">
        <v>1817</v>
      </c>
      <c r="E1132">
        <v>4175</v>
      </c>
      <c r="F1132" s="15"/>
      <c r="G1132" s="15"/>
      <c r="H1132" s="15" t="s">
        <v>1541</v>
      </c>
      <c r="I1132" s="15">
        <v>2737</v>
      </c>
      <c r="J1132" s="15">
        <v>0</v>
      </c>
      <c r="K1132" s="15" t="s">
        <v>865</v>
      </c>
      <c r="L1132" s="43" t="s">
        <v>4858</v>
      </c>
      <c r="P1132" s="41">
        <v>9</v>
      </c>
      <c r="Q1132" s="41">
        <v>12</v>
      </c>
      <c r="R1132" s="41" t="s">
        <v>868</v>
      </c>
      <c r="S1132" s="15" t="s">
        <v>3329</v>
      </c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t="s">
        <v>359</v>
      </c>
    </row>
    <row r="1133" spans="1:34" ht="15.75">
      <c r="A1133" s="29">
        <f t="shared" si="17"/>
        <v>37</v>
      </c>
      <c r="B1133" s="15">
        <v>854</v>
      </c>
      <c r="C1133" s="15">
        <v>6</v>
      </c>
      <c r="D1133" s="2">
        <v>1817</v>
      </c>
      <c r="E1133">
        <v>4176</v>
      </c>
      <c r="F1133" s="15"/>
      <c r="G1133" s="15"/>
      <c r="H1133" s="15" t="s">
        <v>1540</v>
      </c>
      <c r="I1133" s="15">
        <v>37</v>
      </c>
      <c r="J1133" s="15">
        <v>0</v>
      </c>
      <c r="K1133" s="15" t="s">
        <v>865</v>
      </c>
      <c r="L1133" s="43" t="s">
        <v>4859</v>
      </c>
      <c r="P1133" s="41">
        <v>1</v>
      </c>
      <c r="Q1133" s="41">
        <v>11</v>
      </c>
      <c r="R1133" s="41" t="s">
        <v>3347</v>
      </c>
      <c r="S1133" t="s">
        <v>3343</v>
      </c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t="s">
        <v>359</v>
      </c>
    </row>
    <row r="1134" spans="1:34" ht="15.75">
      <c r="A1134" s="29">
        <f t="shared" si="17"/>
        <v>646</v>
      </c>
      <c r="B1134" s="15">
        <v>854</v>
      </c>
      <c r="C1134" s="15">
        <v>6</v>
      </c>
      <c r="D1134" s="2">
        <v>1817</v>
      </c>
      <c r="E1134">
        <v>4177</v>
      </c>
      <c r="F1134" s="15"/>
      <c r="G1134" s="15"/>
      <c r="H1134" s="15" t="s">
        <v>1541</v>
      </c>
      <c r="I1134" s="15">
        <v>646</v>
      </c>
      <c r="J1134" s="15">
        <v>0</v>
      </c>
      <c r="K1134" s="15" t="s">
        <v>865</v>
      </c>
      <c r="L1134" s="43" t="s">
        <v>1482</v>
      </c>
      <c r="P1134" s="41">
        <v>3</v>
      </c>
      <c r="Q1134" s="41">
        <v>4</v>
      </c>
      <c r="R1134" s="41">
        <v>31</v>
      </c>
      <c r="S1134" t="s">
        <v>1547</v>
      </c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t="s">
        <v>359</v>
      </c>
    </row>
    <row r="1135" spans="1:34" ht="15.75">
      <c r="A1135" s="29">
        <f t="shared" si="17"/>
        <v>190</v>
      </c>
      <c r="B1135" s="15">
        <v>854</v>
      </c>
      <c r="C1135" s="15">
        <v>6</v>
      </c>
      <c r="D1135" s="2">
        <v>1817</v>
      </c>
      <c r="E1135">
        <v>4178</v>
      </c>
      <c r="F1135" s="15"/>
      <c r="G1135" s="15"/>
      <c r="H1135" s="15" t="s">
        <v>1541</v>
      </c>
      <c r="I1135" s="15">
        <v>190</v>
      </c>
      <c r="J1135" s="15">
        <v>0</v>
      </c>
      <c r="K1135" s="15" t="s">
        <v>865</v>
      </c>
      <c r="L1135" s="43" t="s">
        <v>1482</v>
      </c>
      <c r="P1135" s="41">
        <v>22</v>
      </c>
      <c r="Q1135" s="41">
        <v>8</v>
      </c>
      <c r="R1135" s="41" t="s">
        <v>868</v>
      </c>
      <c r="S1135" s="15" t="s">
        <v>3329</v>
      </c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t="s">
        <v>359</v>
      </c>
    </row>
    <row r="1136" spans="1:34" ht="15">
      <c r="A1136" s="29">
        <f t="shared" si="17"/>
        <v>2648</v>
      </c>
      <c r="B1136" s="15">
        <v>855</v>
      </c>
      <c r="C1136" s="15">
        <v>6</v>
      </c>
      <c r="D1136" s="15">
        <v>1817</v>
      </c>
      <c r="E1136">
        <v>4210</v>
      </c>
      <c r="F1136" s="15"/>
      <c r="G1136" s="15"/>
      <c r="H1136" s="15" t="s">
        <v>1541</v>
      </c>
      <c r="I1136" s="15">
        <v>2648</v>
      </c>
      <c r="J1136" s="15">
        <v>0</v>
      </c>
      <c r="K1136" s="15" t="s">
        <v>865</v>
      </c>
      <c r="L1136" s="43" t="s">
        <v>1447</v>
      </c>
      <c r="P1136" s="41">
        <v>30</v>
      </c>
      <c r="Q1136" s="41">
        <v>8</v>
      </c>
      <c r="R1136" s="41">
        <v>31</v>
      </c>
      <c r="S1136" s="15" t="s">
        <v>3343</v>
      </c>
      <c r="T1136" s="15"/>
      <c r="U1136" s="15"/>
      <c r="V1136" s="15"/>
      <c r="W1136" s="15"/>
      <c r="X1136" s="15"/>
      <c r="Y1136" s="15"/>
      <c r="Z1136" s="15"/>
      <c r="AA1136" s="19"/>
      <c r="AB1136" s="15"/>
      <c r="AC1136" s="15"/>
      <c r="AD1136" s="15"/>
      <c r="AE1136" s="15"/>
      <c r="AF1136" s="15"/>
      <c r="AG1136" s="15"/>
      <c r="AH1136" t="s">
        <v>359</v>
      </c>
    </row>
    <row r="1137" spans="1:34" ht="15.75">
      <c r="A1137" s="29">
        <f t="shared" si="17"/>
        <v>2073</v>
      </c>
      <c r="B1137" s="15">
        <v>855</v>
      </c>
      <c r="C1137" s="15">
        <v>6</v>
      </c>
      <c r="D1137" s="2">
        <v>1817</v>
      </c>
      <c r="E1137">
        <v>4211</v>
      </c>
      <c r="F1137" s="15"/>
      <c r="G1137" s="15"/>
      <c r="H1137" s="15" t="s">
        <v>1540</v>
      </c>
      <c r="I1137" s="15">
        <v>2073</v>
      </c>
      <c r="J1137" s="15">
        <v>0</v>
      </c>
      <c r="K1137" s="15" t="s">
        <v>865</v>
      </c>
      <c r="L1137" s="43" t="s">
        <v>1447</v>
      </c>
      <c r="P1137" s="41">
        <v>22</v>
      </c>
      <c r="Q1137" s="41">
        <v>10</v>
      </c>
      <c r="R1137" s="41">
        <v>45</v>
      </c>
      <c r="S1137" t="s">
        <v>3321</v>
      </c>
      <c r="T1137" s="15"/>
      <c r="U1137" s="15"/>
      <c r="V1137" s="15"/>
      <c r="W1137" s="15"/>
      <c r="X1137" s="15"/>
      <c r="Y1137" s="15"/>
      <c r="Z1137" s="15"/>
      <c r="AA1137" s="19"/>
      <c r="AB1137" s="15"/>
      <c r="AC1137" s="15"/>
      <c r="AD1137" s="15"/>
      <c r="AE1137" s="15"/>
      <c r="AF1137" s="15"/>
      <c r="AG1137" s="15"/>
      <c r="AH1137" t="s">
        <v>359</v>
      </c>
    </row>
    <row r="1138" spans="1:34" ht="15.75">
      <c r="A1138" s="29">
        <f t="shared" si="17"/>
        <v>160</v>
      </c>
      <c r="B1138" s="15">
        <v>855</v>
      </c>
      <c r="C1138" s="15">
        <v>6</v>
      </c>
      <c r="D1138" s="2">
        <v>1817</v>
      </c>
      <c r="E1138">
        <v>4212</v>
      </c>
      <c r="F1138" s="15"/>
      <c r="G1138" s="15"/>
      <c r="H1138" s="15" t="s">
        <v>1540</v>
      </c>
      <c r="I1138" s="15">
        <v>160</v>
      </c>
      <c r="J1138" s="15">
        <v>0</v>
      </c>
      <c r="K1138" s="15" t="s">
        <v>865</v>
      </c>
      <c r="L1138" s="43" t="s">
        <v>1447</v>
      </c>
      <c r="P1138" s="41">
        <v>23</v>
      </c>
      <c r="Q1138" s="41">
        <v>10</v>
      </c>
      <c r="R1138" s="41">
        <v>52</v>
      </c>
      <c r="S1138" t="s">
        <v>3321</v>
      </c>
      <c r="T1138" s="15"/>
      <c r="U1138" s="15"/>
      <c r="V1138" s="15"/>
      <c r="W1138" s="15"/>
      <c r="X1138" s="15"/>
      <c r="Y1138" s="15"/>
      <c r="Z1138" s="15"/>
      <c r="AA1138" s="19"/>
      <c r="AB1138" s="15"/>
      <c r="AC1138" s="15"/>
      <c r="AD1138" s="15"/>
      <c r="AE1138" s="15"/>
      <c r="AF1138" s="15"/>
      <c r="AG1138" s="15"/>
      <c r="AH1138" t="s">
        <v>359</v>
      </c>
    </row>
    <row r="1139" spans="1:34" ht="15.75">
      <c r="A1139" s="29">
        <f t="shared" si="17"/>
        <v>160</v>
      </c>
      <c r="B1139" s="15">
        <v>855</v>
      </c>
      <c r="C1139" s="2">
        <v>6</v>
      </c>
      <c r="D1139" s="2">
        <v>1817</v>
      </c>
      <c r="E1139">
        <v>4213</v>
      </c>
      <c r="F1139" s="15"/>
      <c r="G1139" s="15"/>
      <c r="H1139" s="15" t="s">
        <v>1549</v>
      </c>
      <c r="I1139" s="15">
        <v>160</v>
      </c>
      <c r="J1139" s="15">
        <v>0</v>
      </c>
      <c r="K1139" s="15" t="s">
        <v>865</v>
      </c>
      <c r="L1139" s="43" t="s">
        <v>1447</v>
      </c>
      <c r="P1139" s="41">
        <v>12</v>
      </c>
      <c r="Q1139" s="41">
        <v>10</v>
      </c>
      <c r="R1139" s="41">
        <v>40</v>
      </c>
      <c r="S1139" t="s">
        <v>3321</v>
      </c>
      <c r="T1139" s="15"/>
      <c r="U1139" s="15"/>
      <c r="V1139" s="15"/>
      <c r="W1139" s="15"/>
      <c r="X1139" s="15"/>
      <c r="Y1139" s="15"/>
      <c r="Z1139" s="15"/>
      <c r="AA1139" s="19"/>
      <c r="AB1139" s="15"/>
      <c r="AC1139" s="15"/>
      <c r="AD1139" s="15"/>
      <c r="AE1139" s="15"/>
      <c r="AF1139" s="15"/>
      <c r="AG1139" s="15"/>
      <c r="AH1139" t="s">
        <v>359</v>
      </c>
    </row>
    <row r="1140" spans="1:34" ht="15.75">
      <c r="A1140" s="29">
        <f t="shared" si="17"/>
        <v>6499</v>
      </c>
      <c r="B1140" s="15">
        <v>855</v>
      </c>
      <c r="C1140" s="15">
        <v>6</v>
      </c>
      <c r="D1140" s="2">
        <v>1817</v>
      </c>
      <c r="E1140">
        <v>4214</v>
      </c>
      <c r="F1140" s="15"/>
      <c r="G1140" s="15"/>
      <c r="H1140" s="15" t="s">
        <v>1540</v>
      </c>
      <c r="I1140" s="15">
        <v>6499</v>
      </c>
      <c r="J1140" s="15">
        <v>0</v>
      </c>
      <c r="K1140" s="15" t="s">
        <v>865</v>
      </c>
      <c r="L1140" s="43" t="s">
        <v>3692</v>
      </c>
      <c r="P1140" s="41">
        <v>27</v>
      </c>
      <c r="Q1140" s="41">
        <v>9</v>
      </c>
      <c r="R1140" s="41">
        <v>68</v>
      </c>
      <c r="S1140" t="s">
        <v>3321</v>
      </c>
      <c r="T1140" s="15"/>
      <c r="U1140" s="15"/>
      <c r="V1140" s="15"/>
      <c r="W1140" s="15"/>
      <c r="X1140" s="15"/>
      <c r="Y1140" s="15"/>
      <c r="Z1140" s="15"/>
      <c r="AA1140" s="19"/>
      <c r="AB1140" s="15"/>
      <c r="AC1140" s="15"/>
      <c r="AD1140" s="15"/>
      <c r="AE1140" s="15"/>
      <c r="AF1140" s="15"/>
      <c r="AG1140" s="15"/>
      <c r="AH1140" t="s">
        <v>359</v>
      </c>
    </row>
    <row r="1141" spans="1:34" ht="15.75">
      <c r="A1141" s="29">
        <f t="shared" si="17"/>
        <v>90</v>
      </c>
      <c r="B1141" s="15">
        <v>855</v>
      </c>
      <c r="C1141" s="15">
        <v>6</v>
      </c>
      <c r="D1141" s="2">
        <v>1817</v>
      </c>
      <c r="E1141">
        <v>4215</v>
      </c>
      <c r="F1141" s="15"/>
      <c r="G1141" s="15"/>
      <c r="H1141" s="15" t="s">
        <v>1540</v>
      </c>
      <c r="I1141" s="15">
        <v>90</v>
      </c>
      <c r="J1141" s="15">
        <v>0</v>
      </c>
      <c r="K1141" s="15" t="s">
        <v>865</v>
      </c>
      <c r="L1141" s="43" t="s">
        <v>5991</v>
      </c>
      <c r="P1141" s="41">
        <v>12</v>
      </c>
      <c r="Q1141" s="41">
        <v>10</v>
      </c>
      <c r="R1141" s="41" t="s">
        <v>868</v>
      </c>
      <c r="S1141" t="s">
        <v>3321</v>
      </c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t="s">
        <v>359</v>
      </c>
    </row>
    <row r="1142" spans="1:34" ht="15.75">
      <c r="A1142" s="29">
        <f t="shared" si="17"/>
        <v>212</v>
      </c>
      <c r="B1142" s="15">
        <v>855</v>
      </c>
      <c r="C1142" s="15">
        <v>6</v>
      </c>
      <c r="D1142" s="2">
        <v>1817</v>
      </c>
      <c r="E1142">
        <v>4216</v>
      </c>
      <c r="F1142" s="15"/>
      <c r="G1142" s="15"/>
      <c r="H1142" s="15" t="s">
        <v>1540</v>
      </c>
      <c r="I1142" s="15">
        <v>212</v>
      </c>
      <c r="J1142" s="15">
        <v>0</v>
      </c>
      <c r="K1142" s="15" t="s">
        <v>865</v>
      </c>
      <c r="L1142" s="43" t="s">
        <v>1456</v>
      </c>
      <c r="P1142" s="41">
        <v>20</v>
      </c>
      <c r="Q1142" s="41">
        <v>10</v>
      </c>
      <c r="R1142" s="41">
        <v>68</v>
      </c>
      <c r="S1142" t="s">
        <v>3321</v>
      </c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t="s">
        <v>359</v>
      </c>
    </row>
    <row r="1143" spans="1:34" ht="15.75">
      <c r="A1143" s="29">
        <f t="shared" si="17"/>
        <v>190925</v>
      </c>
      <c r="B1143" s="15">
        <v>855</v>
      </c>
      <c r="C1143" s="15">
        <v>6</v>
      </c>
      <c r="D1143" s="2">
        <v>1817</v>
      </c>
      <c r="E1143">
        <v>4217</v>
      </c>
      <c r="F1143" s="15"/>
      <c r="G1143" s="15"/>
      <c r="H1143" s="15" t="s">
        <v>1540</v>
      </c>
      <c r="I1143" s="15">
        <v>925</v>
      </c>
      <c r="J1143" s="15">
        <f>38000</f>
        <v>38000</v>
      </c>
      <c r="K1143" s="15" t="s">
        <v>865</v>
      </c>
      <c r="L1143" s="43" t="s">
        <v>4860</v>
      </c>
      <c r="M1143" s="41" t="s">
        <v>1098</v>
      </c>
      <c r="N1143" s="41" t="s">
        <v>1547</v>
      </c>
      <c r="O1143" s="41" t="s">
        <v>4861</v>
      </c>
      <c r="P1143" s="41">
        <v>29</v>
      </c>
      <c r="Q1143" s="41">
        <v>12</v>
      </c>
      <c r="R1143" s="41" t="s">
        <v>868</v>
      </c>
      <c r="S1143" t="s">
        <v>1547</v>
      </c>
      <c r="T1143" s="15" t="s">
        <v>4862</v>
      </c>
      <c r="U1143" s="15"/>
      <c r="V1143" s="15" t="s">
        <v>4863</v>
      </c>
      <c r="W1143" s="15"/>
      <c r="X1143" s="15">
        <v>0.25</v>
      </c>
      <c r="Y1143" s="15" t="s">
        <v>4864</v>
      </c>
      <c r="Z1143" s="15"/>
      <c r="AA1143" s="15"/>
      <c r="AB1143" s="15"/>
      <c r="AC1143" s="15"/>
      <c r="AD1143" s="15"/>
      <c r="AE1143" s="15"/>
      <c r="AF1143" s="15"/>
      <c r="AG1143" s="15"/>
      <c r="AH1143" t="s">
        <v>359</v>
      </c>
    </row>
    <row r="1144" spans="1:34" ht="15.75">
      <c r="A1144" s="29">
        <f t="shared" si="17"/>
        <v>60000</v>
      </c>
      <c r="B1144" s="15">
        <v>855</v>
      </c>
      <c r="C1144" s="2">
        <v>6</v>
      </c>
      <c r="D1144" s="2">
        <v>1817</v>
      </c>
      <c r="E1144">
        <v>4218</v>
      </c>
      <c r="F1144" s="15"/>
      <c r="G1144" s="15"/>
      <c r="H1144" s="15" t="s">
        <v>1549</v>
      </c>
      <c r="I1144" s="15">
        <v>0</v>
      </c>
      <c r="J1144" s="15">
        <v>12000</v>
      </c>
      <c r="K1144" s="15" t="s">
        <v>865</v>
      </c>
      <c r="L1144" s="43" t="s">
        <v>4865</v>
      </c>
      <c r="M1144" s="43" t="s">
        <v>5819</v>
      </c>
      <c r="N1144" s="41" t="s">
        <v>4866</v>
      </c>
      <c r="O1144" s="41" t="s">
        <v>4867</v>
      </c>
      <c r="P1144" s="41">
        <v>1</v>
      </c>
      <c r="Q1144" s="41">
        <v>9</v>
      </c>
      <c r="R1144" s="41">
        <v>40</v>
      </c>
      <c r="S1144" s="15" t="s">
        <v>847</v>
      </c>
      <c r="T1144" s="15" t="s">
        <v>4862</v>
      </c>
      <c r="U1144" s="15"/>
      <c r="V1144" s="15" t="s">
        <v>4868</v>
      </c>
      <c r="W1144" s="15"/>
      <c r="X1144" s="15">
        <v>0.25</v>
      </c>
      <c r="Y1144" s="15" t="s">
        <v>4869</v>
      </c>
      <c r="Z1144" s="15"/>
      <c r="AA1144" s="15" t="s">
        <v>4870</v>
      </c>
      <c r="AB1144" s="15"/>
      <c r="AC1144" s="15"/>
      <c r="AD1144" s="15"/>
      <c r="AE1144" s="15"/>
      <c r="AF1144" s="15"/>
      <c r="AG1144" s="15"/>
      <c r="AH1144" t="s">
        <v>359</v>
      </c>
    </row>
    <row r="1145" spans="1:34" ht="15.75">
      <c r="A1145" s="29">
        <f t="shared" si="17"/>
        <v>454</v>
      </c>
      <c r="B1145" s="15">
        <v>855</v>
      </c>
      <c r="C1145" s="15">
        <v>6</v>
      </c>
      <c r="D1145" s="2">
        <v>1817</v>
      </c>
      <c r="E1145">
        <v>4219</v>
      </c>
      <c r="F1145" s="15"/>
      <c r="G1145" s="15"/>
      <c r="H1145" s="15" t="s">
        <v>1541</v>
      </c>
      <c r="I1145" s="15">
        <v>454</v>
      </c>
      <c r="J1145" s="15">
        <v>0</v>
      </c>
      <c r="K1145" s="15" t="s">
        <v>865</v>
      </c>
      <c r="L1145" s="43" t="s">
        <v>4871</v>
      </c>
      <c r="P1145" s="41">
        <v>26</v>
      </c>
      <c r="Q1145" s="41">
        <v>12</v>
      </c>
      <c r="R1145" s="41" t="s">
        <v>868</v>
      </c>
      <c r="S1145" s="15" t="s">
        <v>3329</v>
      </c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t="s">
        <v>359</v>
      </c>
    </row>
    <row r="1146" spans="1:34" ht="15.75">
      <c r="A1146" s="39">
        <f t="shared" si="17"/>
        <v>1975</v>
      </c>
      <c r="B1146" s="15">
        <v>855</v>
      </c>
      <c r="C1146" s="15">
        <v>6</v>
      </c>
      <c r="D1146" s="2">
        <v>1817</v>
      </c>
      <c r="E1146">
        <v>4220</v>
      </c>
      <c r="F1146" s="15"/>
      <c r="G1146" s="15"/>
      <c r="H1146" s="15" t="s">
        <v>1541</v>
      </c>
      <c r="I1146" s="15">
        <v>1975</v>
      </c>
      <c r="J1146" s="15">
        <v>0</v>
      </c>
      <c r="K1146" s="15" t="s">
        <v>865</v>
      </c>
      <c r="L1146" s="43" t="s">
        <v>3689</v>
      </c>
      <c r="P1146" s="41">
        <v>1</v>
      </c>
      <c r="Q1146" s="41">
        <v>5</v>
      </c>
      <c r="R1146" s="41">
        <v>65</v>
      </c>
      <c r="S1146" t="s">
        <v>3321</v>
      </c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t="s">
        <v>359</v>
      </c>
    </row>
    <row r="1147" spans="1:34" ht="15.75">
      <c r="A1147" s="39">
        <f t="shared" si="17"/>
        <v>18122</v>
      </c>
      <c r="B1147" s="18">
        <v>856</v>
      </c>
      <c r="C1147" s="15">
        <v>6</v>
      </c>
      <c r="D1147" s="2">
        <v>1817</v>
      </c>
      <c r="E1147">
        <v>4253</v>
      </c>
      <c r="F1147" s="18"/>
      <c r="G1147" s="18"/>
      <c r="H1147" s="18" t="s">
        <v>1540</v>
      </c>
      <c r="I1147" s="18">
        <v>3122</v>
      </c>
      <c r="J1147" s="18">
        <v>750</v>
      </c>
      <c r="K1147" s="15" t="s">
        <v>865</v>
      </c>
      <c r="L1147" s="43" t="s">
        <v>4872</v>
      </c>
      <c r="M1147" s="43" t="s">
        <v>4873</v>
      </c>
      <c r="N1147" s="43"/>
      <c r="O1147" s="41" t="s">
        <v>4874</v>
      </c>
      <c r="P1147" s="41">
        <v>20</v>
      </c>
      <c r="Q1147" s="41">
        <v>8</v>
      </c>
      <c r="S1147" t="s">
        <v>3343</v>
      </c>
      <c r="T1147" s="15" t="s">
        <v>4875</v>
      </c>
      <c r="U1147" s="15"/>
      <c r="V1147" s="15" t="s">
        <v>4876</v>
      </c>
      <c r="W1147" s="15"/>
      <c r="X1147" s="15">
        <v>1</v>
      </c>
      <c r="Y1147" s="15" t="s">
        <v>4877</v>
      </c>
      <c r="Z1147" s="15"/>
      <c r="AA1147" s="15" t="s">
        <v>4878</v>
      </c>
      <c r="AB1147" s="15"/>
      <c r="AC1147" s="15"/>
      <c r="AD1147" s="15"/>
      <c r="AE1147" s="15"/>
      <c r="AF1147" s="15"/>
      <c r="AG1147" s="15"/>
      <c r="AH1147" t="s">
        <v>359</v>
      </c>
    </row>
    <row r="1148" spans="1:34" ht="15.75">
      <c r="A1148" s="29">
        <f t="shared" si="17"/>
        <v>100</v>
      </c>
      <c r="B1148" s="18">
        <v>856</v>
      </c>
      <c r="C1148" s="15">
        <v>6</v>
      </c>
      <c r="D1148" s="2">
        <v>1817</v>
      </c>
      <c r="E1148">
        <v>4254</v>
      </c>
      <c r="F1148" s="18"/>
      <c r="G1148" s="18"/>
      <c r="H1148" s="18" t="s">
        <v>1540</v>
      </c>
      <c r="I1148" s="18">
        <v>100</v>
      </c>
      <c r="J1148" s="18">
        <v>0</v>
      </c>
      <c r="K1148" s="15" t="s">
        <v>865</v>
      </c>
      <c r="L1148" s="43" t="s">
        <v>4879</v>
      </c>
      <c r="M1148" s="43"/>
      <c r="N1148" s="43"/>
      <c r="P1148" s="41">
        <v>30</v>
      </c>
      <c r="Q1148" s="41">
        <v>4</v>
      </c>
      <c r="R1148" s="41">
        <v>70</v>
      </c>
      <c r="S1148" t="s">
        <v>3321</v>
      </c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t="s">
        <v>359</v>
      </c>
    </row>
    <row r="1149" spans="1:34" ht="15">
      <c r="A1149" s="29">
        <f t="shared" si="17"/>
        <v>3115</v>
      </c>
      <c r="B1149" s="18">
        <v>856</v>
      </c>
      <c r="C1149" s="15">
        <v>6</v>
      </c>
      <c r="D1149" s="18">
        <v>1817</v>
      </c>
      <c r="E1149">
        <v>4255</v>
      </c>
      <c r="F1149" s="18"/>
      <c r="G1149" s="18"/>
      <c r="H1149" s="18" t="s">
        <v>1541</v>
      </c>
      <c r="I1149" s="18">
        <v>3115</v>
      </c>
      <c r="J1149" s="18">
        <v>0</v>
      </c>
      <c r="K1149" s="15" t="s">
        <v>1549</v>
      </c>
      <c r="L1149" s="43" t="s">
        <v>4880</v>
      </c>
      <c r="M1149" s="43"/>
      <c r="N1149" s="43"/>
      <c r="P1149" s="41">
        <v>10</v>
      </c>
      <c r="Q1149" s="41">
        <v>12</v>
      </c>
      <c r="R1149" s="41" t="s">
        <v>868</v>
      </c>
      <c r="S1149" s="15" t="s">
        <v>3329</v>
      </c>
      <c r="T1149" s="15"/>
      <c r="U1149" s="15" t="s">
        <v>4881</v>
      </c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t="s">
        <v>359</v>
      </c>
    </row>
    <row r="1150" spans="1:34" ht="15.75">
      <c r="A1150" s="29">
        <f t="shared" si="17"/>
        <v>6308</v>
      </c>
      <c r="B1150" s="18">
        <v>856</v>
      </c>
      <c r="C1150" s="15">
        <v>6</v>
      </c>
      <c r="D1150" s="2">
        <v>1817</v>
      </c>
      <c r="E1150">
        <v>4256</v>
      </c>
      <c r="F1150" s="18"/>
      <c r="G1150" s="18"/>
      <c r="H1150" s="18" t="s">
        <v>1540</v>
      </c>
      <c r="I1150" s="18">
        <v>6308</v>
      </c>
      <c r="J1150" s="18">
        <v>0</v>
      </c>
      <c r="K1150" s="15" t="s">
        <v>865</v>
      </c>
      <c r="L1150" s="43" t="s">
        <v>4880</v>
      </c>
      <c r="M1150" s="43"/>
      <c r="N1150" s="43"/>
      <c r="P1150" s="41">
        <v>9</v>
      </c>
      <c r="Q1150" s="41">
        <v>4</v>
      </c>
      <c r="R1150" s="41">
        <v>38</v>
      </c>
      <c r="S1150" t="s">
        <v>3321</v>
      </c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t="s">
        <v>359</v>
      </c>
    </row>
    <row r="1151" spans="1:34" ht="15.75">
      <c r="A1151" s="29">
        <f t="shared" si="17"/>
        <v>7167</v>
      </c>
      <c r="B1151" s="18">
        <v>856</v>
      </c>
      <c r="C1151" s="15">
        <v>6</v>
      </c>
      <c r="D1151" s="2">
        <v>1817</v>
      </c>
      <c r="E1151">
        <v>4257</v>
      </c>
      <c r="F1151" s="18"/>
      <c r="G1151" s="18"/>
      <c r="H1151" s="18" t="s">
        <v>1540</v>
      </c>
      <c r="I1151" s="18">
        <f>1065+6102</f>
        <v>7167</v>
      </c>
      <c r="J1151" s="18">
        <v>0</v>
      </c>
      <c r="K1151" s="15" t="s">
        <v>865</v>
      </c>
      <c r="L1151" s="43" t="s">
        <v>4882</v>
      </c>
      <c r="M1151" s="43"/>
      <c r="N1151" s="43"/>
      <c r="P1151" s="41">
        <v>17</v>
      </c>
      <c r="Q1151" s="41">
        <v>5</v>
      </c>
      <c r="R1151" s="41">
        <v>83</v>
      </c>
      <c r="S1151" t="s">
        <v>3321</v>
      </c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t="s">
        <v>359</v>
      </c>
    </row>
    <row r="1152" spans="1:34" ht="15.75">
      <c r="A1152" s="29">
        <f t="shared" si="17"/>
        <v>1064</v>
      </c>
      <c r="B1152" s="18">
        <v>856</v>
      </c>
      <c r="C1152" s="15">
        <v>6</v>
      </c>
      <c r="D1152" s="2">
        <v>1817</v>
      </c>
      <c r="E1152">
        <v>4258</v>
      </c>
      <c r="F1152" s="18"/>
      <c r="G1152" s="18"/>
      <c r="H1152" s="18" t="s">
        <v>1540</v>
      </c>
      <c r="I1152" s="18">
        <v>1064</v>
      </c>
      <c r="J1152" s="18">
        <v>0</v>
      </c>
      <c r="K1152" s="15" t="s">
        <v>865</v>
      </c>
      <c r="L1152" s="43" t="s">
        <v>4882</v>
      </c>
      <c r="M1152" s="43"/>
      <c r="N1152" s="43"/>
      <c r="P1152" s="41">
        <v>9</v>
      </c>
      <c r="Q1152" s="41">
        <v>5</v>
      </c>
      <c r="R1152" s="41">
        <v>71</v>
      </c>
      <c r="S1152" t="s">
        <v>3321</v>
      </c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t="s">
        <v>359</v>
      </c>
    </row>
    <row r="1153" spans="1:34" ht="15.75">
      <c r="A1153" s="29">
        <f t="shared" si="17"/>
        <v>1251</v>
      </c>
      <c r="B1153" s="18">
        <v>856</v>
      </c>
      <c r="C1153" s="15">
        <v>6</v>
      </c>
      <c r="D1153" s="2">
        <v>1817</v>
      </c>
      <c r="E1153">
        <v>4259</v>
      </c>
      <c r="F1153" s="18"/>
      <c r="G1153" s="18"/>
      <c r="H1153" s="18" t="s">
        <v>4655</v>
      </c>
      <c r="I1153" s="18">
        <v>1251</v>
      </c>
      <c r="J1153" s="18">
        <v>0</v>
      </c>
      <c r="K1153" s="15" t="s">
        <v>865</v>
      </c>
      <c r="L1153" s="43" t="s">
        <v>4883</v>
      </c>
      <c r="M1153" s="43"/>
      <c r="N1153" s="43"/>
      <c r="P1153" s="41">
        <v>25</v>
      </c>
      <c r="Q1153" s="41">
        <v>10</v>
      </c>
      <c r="R1153" s="41">
        <v>73</v>
      </c>
      <c r="S1153" t="s">
        <v>3321</v>
      </c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t="s">
        <v>359</v>
      </c>
    </row>
    <row r="1154" spans="1:34" ht="15.75">
      <c r="A1154" s="29">
        <f aca="true" t="shared" si="18" ref="A1154:A1217">I1154+J1154*20*X1154</f>
        <v>34</v>
      </c>
      <c r="B1154" s="18">
        <v>856</v>
      </c>
      <c r="C1154" s="15">
        <v>6</v>
      </c>
      <c r="D1154" s="2">
        <v>1817</v>
      </c>
      <c r="E1154">
        <v>4261</v>
      </c>
      <c r="F1154" s="18"/>
      <c r="G1154" s="18"/>
      <c r="H1154" s="18" t="s">
        <v>1540</v>
      </c>
      <c r="I1154" s="18">
        <v>34</v>
      </c>
      <c r="J1154" s="18">
        <v>0</v>
      </c>
      <c r="K1154" s="15" t="s">
        <v>865</v>
      </c>
      <c r="L1154" s="43" t="s">
        <v>4884</v>
      </c>
      <c r="M1154" s="43"/>
      <c r="N1154" s="43"/>
      <c r="P1154" s="41">
        <v>1</v>
      </c>
      <c r="Q1154" s="41">
        <v>5</v>
      </c>
      <c r="R1154" s="41">
        <v>29</v>
      </c>
      <c r="S1154" s="15" t="s">
        <v>3343</v>
      </c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t="s">
        <v>359</v>
      </c>
    </row>
    <row r="1155" spans="1:34" ht="15.75">
      <c r="A1155" s="29">
        <f t="shared" si="18"/>
        <v>10686</v>
      </c>
      <c r="B1155" s="18">
        <v>856</v>
      </c>
      <c r="C1155" s="15">
        <v>6</v>
      </c>
      <c r="D1155" s="2">
        <v>1817</v>
      </c>
      <c r="E1155">
        <v>4262</v>
      </c>
      <c r="F1155" s="18"/>
      <c r="G1155" s="18"/>
      <c r="H1155" s="18" t="s">
        <v>1541</v>
      </c>
      <c r="I1155" s="18">
        <v>10686</v>
      </c>
      <c r="J1155" s="18">
        <v>0</v>
      </c>
      <c r="K1155" s="15" t="s">
        <v>865</v>
      </c>
      <c r="L1155" s="43" t="s">
        <v>4884</v>
      </c>
      <c r="M1155" s="43"/>
      <c r="N1155" s="43"/>
      <c r="P1155" s="41">
        <v>15</v>
      </c>
      <c r="Q1155" s="41">
        <v>4</v>
      </c>
      <c r="R1155" s="41" t="s">
        <v>1547</v>
      </c>
      <c r="S1155" t="s">
        <v>1547</v>
      </c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t="s">
        <v>359</v>
      </c>
    </row>
    <row r="1156" spans="1:34" ht="15.75">
      <c r="A1156" s="29">
        <f t="shared" si="18"/>
        <v>52500</v>
      </c>
      <c r="B1156" s="18">
        <v>856</v>
      </c>
      <c r="C1156" s="15">
        <v>6</v>
      </c>
      <c r="D1156" s="2">
        <v>1817</v>
      </c>
      <c r="E1156">
        <v>4263</v>
      </c>
      <c r="F1156" s="18"/>
      <c r="G1156" s="18"/>
      <c r="H1156" s="18" t="s">
        <v>1540</v>
      </c>
      <c r="I1156" s="18">
        <v>0</v>
      </c>
      <c r="J1156" s="18">
        <v>2625</v>
      </c>
      <c r="K1156" s="15" t="s">
        <v>1549</v>
      </c>
      <c r="L1156" s="43" t="s">
        <v>4885</v>
      </c>
      <c r="M1156" s="43" t="s">
        <v>4886</v>
      </c>
      <c r="N1156" s="43" t="s">
        <v>1555</v>
      </c>
      <c r="O1156" s="41" t="s">
        <v>4887</v>
      </c>
      <c r="P1156" s="41">
        <v>9</v>
      </c>
      <c r="Q1156" s="41">
        <v>9</v>
      </c>
      <c r="R1156" s="41" t="s">
        <v>1547</v>
      </c>
      <c r="S1156" t="s">
        <v>1547</v>
      </c>
      <c r="T1156" s="15" t="s">
        <v>4888</v>
      </c>
      <c r="U1156" s="15"/>
      <c r="V1156" s="15" t="s">
        <v>1249</v>
      </c>
      <c r="W1156" s="15"/>
      <c r="X1156" s="15">
        <v>1</v>
      </c>
      <c r="Y1156" s="15" t="s">
        <v>4889</v>
      </c>
      <c r="Z1156" s="15"/>
      <c r="AA1156" s="15" t="s">
        <v>4890</v>
      </c>
      <c r="AB1156" s="15"/>
      <c r="AC1156" s="15"/>
      <c r="AD1156" s="15"/>
      <c r="AE1156" s="15"/>
      <c r="AF1156" s="15"/>
      <c r="AG1156" s="15"/>
      <c r="AH1156" t="s">
        <v>359</v>
      </c>
    </row>
    <row r="1157" spans="1:34" ht="15.75">
      <c r="A1157" s="29">
        <f t="shared" si="18"/>
        <v>40</v>
      </c>
      <c r="B1157" s="15">
        <v>857</v>
      </c>
      <c r="C1157" s="15">
        <v>6</v>
      </c>
      <c r="D1157" s="2">
        <v>1817</v>
      </c>
      <c r="E1157">
        <v>4307</v>
      </c>
      <c r="F1157" s="15"/>
      <c r="G1157" s="15"/>
      <c r="H1157" s="15" t="s">
        <v>1541</v>
      </c>
      <c r="I1157" s="15">
        <v>40</v>
      </c>
      <c r="J1157" s="15">
        <v>0</v>
      </c>
      <c r="K1157" s="15" t="s">
        <v>1549</v>
      </c>
      <c r="L1157" s="43" t="s">
        <v>4891</v>
      </c>
      <c r="P1157" s="41">
        <v>17</v>
      </c>
      <c r="Q1157" s="41">
        <v>9</v>
      </c>
      <c r="R1157" s="41">
        <v>20</v>
      </c>
      <c r="S1157" s="15" t="s">
        <v>3343</v>
      </c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t="s">
        <v>359</v>
      </c>
    </row>
    <row r="1158" spans="1:34" ht="15.75">
      <c r="A1158" s="29">
        <f t="shared" si="18"/>
        <v>7483</v>
      </c>
      <c r="B1158" s="15">
        <v>857</v>
      </c>
      <c r="C1158" s="15">
        <v>6</v>
      </c>
      <c r="D1158" s="2">
        <v>1817</v>
      </c>
      <c r="E1158">
        <v>4308</v>
      </c>
      <c r="F1158" s="15"/>
      <c r="G1158" s="15"/>
      <c r="H1158" s="15" t="s">
        <v>1540</v>
      </c>
      <c r="I1158" s="15">
        <v>7483</v>
      </c>
      <c r="J1158" s="15">
        <v>0</v>
      </c>
      <c r="K1158" s="15" t="s">
        <v>1549</v>
      </c>
      <c r="L1158" s="43" t="s">
        <v>3317</v>
      </c>
      <c r="P1158" s="41">
        <v>29</v>
      </c>
      <c r="Q1158" s="41">
        <v>6</v>
      </c>
      <c r="R1158" s="41">
        <v>30</v>
      </c>
      <c r="S1158" s="15" t="s">
        <v>1547</v>
      </c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t="s">
        <v>359</v>
      </c>
    </row>
    <row r="1159" spans="1:34" ht="15.75">
      <c r="A1159" s="29">
        <f t="shared" si="18"/>
        <v>5443</v>
      </c>
      <c r="B1159" s="15">
        <v>857</v>
      </c>
      <c r="C1159" s="15">
        <v>6</v>
      </c>
      <c r="D1159" s="2">
        <v>1817</v>
      </c>
      <c r="E1159">
        <v>4309</v>
      </c>
      <c r="F1159" s="15"/>
      <c r="G1159" s="15"/>
      <c r="H1159" s="15" t="s">
        <v>1549</v>
      </c>
      <c r="I1159" s="15">
        <v>5443</v>
      </c>
      <c r="J1159" s="15">
        <v>0</v>
      </c>
      <c r="K1159" s="15" t="s">
        <v>1549</v>
      </c>
      <c r="L1159" s="43" t="s">
        <v>5987</v>
      </c>
      <c r="P1159" s="41">
        <v>23</v>
      </c>
      <c r="Q1159" s="41">
        <v>10</v>
      </c>
      <c r="R1159" s="41" t="s">
        <v>1547</v>
      </c>
      <c r="S1159" s="15" t="s">
        <v>1547</v>
      </c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t="s">
        <v>359</v>
      </c>
    </row>
    <row r="1160" spans="1:34" ht="15.75">
      <c r="A1160" s="29">
        <f t="shared" si="18"/>
        <v>155</v>
      </c>
      <c r="B1160" s="15">
        <v>858</v>
      </c>
      <c r="C1160" s="15">
        <v>6</v>
      </c>
      <c r="D1160" s="2">
        <v>1817</v>
      </c>
      <c r="E1160">
        <v>4333</v>
      </c>
      <c r="F1160" s="15"/>
      <c r="G1160" s="15"/>
      <c r="H1160" s="15" t="s">
        <v>1540</v>
      </c>
      <c r="I1160" s="15">
        <v>155</v>
      </c>
      <c r="J1160" s="15">
        <v>0</v>
      </c>
      <c r="K1160" s="15" t="s">
        <v>1549</v>
      </c>
      <c r="L1160" s="43" t="s">
        <v>4892</v>
      </c>
      <c r="M1160" s="41" t="s">
        <v>1098</v>
      </c>
      <c r="P1160" s="41">
        <v>9</v>
      </c>
      <c r="Q1160" s="41">
        <v>11</v>
      </c>
      <c r="R1160" s="41">
        <v>82</v>
      </c>
      <c r="S1160" t="s">
        <v>3321</v>
      </c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t="s">
        <v>359</v>
      </c>
    </row>
    <row r="1161" spans="1:34" ht="15.75">
      <c r="A1161" s="29">
        <f t="shared" si="18"/>
        <v>160404</v>
      </c>
      <c r="B1161" s="15">
        <v>858</v>
      </c>
      <c r="C1161" s="15">
        <v>6</v>
      </c>
      <c r="D1161" s="2">
        <v>1817</v>
      </c>
      <c r="E1161">
        <v>4334</v>
      </c>
      <c r="F1161" s="15"/>
      <c r="G1161" s="15"/>
      <c r="H1161" s="15" t="s">
        <v>1540</v>
      </c>
      <c r="I1161" s="15">
        <f>21284+47649+20531+636+2737+5457+2737+23268+20531+2737+2737+10100</f>
        <v>160404</v>
      </c>
      <c r="J1161" s="15">
        <v>0</v>
      </c>
      <c r="K1161" s="15" t="s">
        <v>1549</v>
      </c>
      <c r="L1161" s="43" t="s">
        <v>4893</v>
      </c>
      <c r="M1161" s="41" t="s">
        <v>4894</v>
      </c>
      <c r="N1161" s="41" t="s">
        <v>1545</v>
      </c>
      <c r="O1161" s="41" t="s">
        <v>4895</v>
      </c>
      <c r="P1161" s="41">
        <v>23</v>
      </c>
      <c r="Q1161" s="41">
        <v>8</v>
      </c>
      <c r="R1161" s="41">
        <v>82</v>
      </c>
      <c r="S1161" s="15" t="s">
        <v>4896</v>
      </c>
      <c r="T1161" s="15" t="s">
        <v>4897</v>
      </c>
      <c r="U1161" s="15"/>
      <c r="V1161" s="15" t="s">
        <v>1270</v>
      </c>
      <c r="W1161" s="15"/>
      <c r="X1161" s="15">
        <v>1</v>
      </c>
      <c r="Y1161" s="15"/>
      <c r="Z1161" s="15"/>
      <c r="AA1161" s="15" t="s">
        <v>1271</v>
      </c>
      <c r="AB1161" s="15"/>
      <c r="AC1161" s="15" t="s">
        <v>4898</v>
      </c>
      <c r="AD1161" s="15"/>
      <c r="AE1161" s="15" t="s">
        <v>4899</v>
      </c>
      <c r="AF1161" s="15"/>
      <c r="AG1161" s="15" t="s">
        <v>4900</v>
      </c>
      <c r="AH1161" t="s">
        <v>359</v>
      </c>
    </row>
    <row r="1162" spans="1:34" ht="15.75">
      <c r="A1162" s="29">
        <f t="shared" si="18"/>
        <v>445</v>
      </c>
      <c r="B1162" s="15">
        <v>858</v>
      </c>
      <c r="C1162" s="15">
        <v>6</v>
      </c>
      <c r="D1162" s="2">
        <v>1817</v>
      </c>
      <c r="E1162">
        <v>4335</v>
      </c>
      <c r="F1162" s="15"/>
      <c r="G1162" s="15"/>
      <c r="H1162" s="15" t="s">
        <v>1540</v>
      </c>
      <c r="I1162" s="15">
        <v>445</v>
      </c>
      <c r="J1162" s="15">
        <v>0</v>
      </c>
      <c r="K1162" s="15" t="s">
        <v>1549</v>
      </c>
      <c r="L1162" s="43" t="s">
        <v>4901</v>
      </c>
      <c r="P1162" s="41">
        <v>12</v>
      </c>
      <c r="Q1162" s="41">
        <v>3</v>
      </c>
      <c r="R1162" s="41">
        <v>59</v>
      </c>
      <c r="S1162" t="s">
        <v>1547</v>
      </c>
      <c r="T1162" s="15"/>
      <c r="U1162" s="15"/>
      <c r="V1162" s="15"/>
      <c r="W1162" s="15"/>
      <c r="X1162" s="15"/>
      <c r="Y1162" s="15"/>
      <c r="Z1162" s="15"/>
      <c r="AA1162" s="19"/>
      <c r="AB1162" s="15"/>
      <c r="AC1162" s="15"/>
      <c r="AD1162" s="15"/>
      <c r="AE1162" s="15"/>
      <c r="AF1162" s="15"/>
      <c r="AG1162" s="15"/>
      <c r="AH1162" t="s">
        <v>359</v>
      </c>
    </row>
    <row r="1163" spans="1:34" ht="15.75">
      <c r="A1163" s="29">
        <f t="shared" si="18"/>
        <v>46</v>
      </c>
      <c r="B1163" s="15">
        <v>858</v>
      </c>
      <c r="C1163" s="15">
        <v>6</v>
      </c>
      <c r="D1163" s="2">
        <v>1817</v>
      </c>
      <c r="E1163">
        <v>4336</v>
      </c>
      <c r="F1163" s="15"/>
      <c r="G1163" s="15"/>
      <c r="H1163" s="15" t="s">
        <v>850</v>
      </c>
      <c r="I1163" s="15">
        <v>46</v>
      </c>
      <c r="J1163" s="15">
        <v>0</v>
      </c>
      <c r="K1163" s="15" t="s">
        <v>1549</v>
      </c>
      <c r="L1163" s="43" t="s">
        <v>3326</v>
      </c>
      <c r="P1163" s="41">
        <v>17</v>
      </c>
      <c r="Q1163" s="41">
        <v>11</v>
      </c>
      <c r="R1163" s="41">
        <v>85</v>
      </c>
      <c r="S1163" s="15" t="s">
        <v>3329</v>
      </c>
      <c r="T1163" s="15"/>
      <c r="U1163" s="15"/>
      <c r="V1163" s="15"/>
      <c r="W1163" s="15"/>
      <c r="X1163" s="15"/>
      <c r="Y1163" s="15"/>
      <c r="Z1163" s="15"/>
      <c r="AA1163" s="19"/>
      <c r="AB1163" s="15"/>
      <c r="AC1163" s="15"/>
      <c r="AD1163" s="15"/>
      <c r="AE1163" s="15"/>
      <c r="AF1163" s="15"/>
      <c r="AG1163" s="15"/>
      <c r="AH1163" t="s">
        <v>359</v>
      </c>
    </row>
    <row r="1164" spans="1:34" ht="15.75">
      <c r="A1164" s="29">
        <f t="shared" si="18"/>
        <v>130</v>
      </c>
      <c r="B1164" s="15">
        <v>858</v>
      </c>
      <c r="C1164" s="15">
        <v>6</v>
      </c>
      <c r="D1164" s="2">
        <v>1817</v>
      </c>
      <c r="E1164">
        <v>4337</v>
      </c>
      <c r="F1164" s="15"/>
      <c r="G1164" s="15"/>
      <c r="H1164" s="15" t="s">
        <v>1541</v>
      </c>
      <c r="I1164" s="15">
        <v>130</v>
      </c>
      <c r="J1164" s="15">
        <v>0</v>
      </c>
      <c r="K1164" s="15" t="s">
        <v>1549</v>
      </c>
      <c r="L1164" s="43" t="s">
        <v>4902</v>
      </c>
      <c r="P1164" s="41">
        <v>15</v>
      </c>
      <c r="Q1164" s="41">
        <v>7</v>
      </c>
      <c r="R1164" s="41">
        <v>59</v>
      </c>
      <c r="S1164" s="15" t="s">
        <v>3343</v>
      </c>
      <c r="T1164" s="15"/>
      <c r="U1164" s="15"/>
      <c r="V1164" s="15"/>
      <c r="W1164" s="15"/>
      <c r="X1164" s="15"/>
      <c r="Y1164" s="15"/>
      <c r="Z1164" s="15"/>
      <c r="AA1164" s="19"/>
      <c r="AB1164" s="15"/>
      <c r="AC1164" s="15"/>
      <c r="AD1164" s="15"/>
      <c r="AE1164" s="15"/>
      <c r="AF1164" s="15"/>
      <c r="AG1164" s="15"/>
      <c r="AH1164" t="s">
        <v>359</v>
      </c>
    </row>
    <row r="1165" spans="1:34" ht="15.75">
      <c r="A1165" s="29">
        <f t="shared" si="18"/>
        <v>156</v>
      </c>
      <c r="B1165" s="15">
        <v>858</v>
      </c>
      <c r="C1165" s="15">
        <v>6</v>
      </c>
      <c r="D1165" s="2">
        <v>1817</v>
      </c>
      <c r="E1165">
        <v>4338</v>
      </c>
      <c r="F1165" s="15"/>
      <c r="G1165" s="15"/>
      <c r="H1165" s="15" t="s">
        <v>1540</v>
      </c>
      <c r="I1165" s="15">
        <v>156</v>
      </c>
      <c r="J1165" s="15">
        <v>0</v>
      </c>
      <c r="K1165" s="15" t="s">
        <v>1549</v>
      </c>
      <c r="L1165" s="43" t="s">
        <v>4902</v>
      </c>
      <c r="P1165" s="41">
        <v>17</v>
      </c>
      <c r="Q1165" s="41">
        <v>4</v>
      </c>
      <c r="R1165" s="41">
        <v>72</v>
      </c>
      <c r="S1165" t="s">
        <v>3321</v>
      </c>
      <c r="T1165" s="15"/>
      <c r="U1165" s="15"/>
      <c r="V1165" s="15"/>
      <c r="W1165" s="15"/>
      <c r="X1165" s="15"/>
      <c r="Y1165" s="15"/>
      <c r="Z1165" s="15"/>
      <c r="AA1165" s="19"/>
      <c r="AB1165" s="15"/>
      <c r="AC1165" s="15"/>
      <c r="AD1165" s="15"/>
      <c r="AE1165" s="15"/>
      <c r="AF1165" s="15"/>
      <c r="AG1165" s="15"/>
      <c r="AH1165" t="s">
        <v>359</v>
      </c>
    </row>
    <row r="1166" spans="1:34" ht="15.75">
      <c r="A1166" s="29">
        <f t="shared" si="18"/>
        <v>21153</v>
      </c>
      <c r="B1166" s="15">
        <v>859</v>
      </c>
      <c r="C1166" s="15">
        <v>6</v>
      </c>
      <c r="D1166" s="2">
        <v>1817</v>
      </c>
      <c r="E1166">
        <v>4373</v>
      </c>
      <c r="F1166" s="15"/>
      <c r="G1166" s="15"/>
      <c r="H1166" s="15" t="s">
        <v>1540</v>
      </c>
      <c r="I1166" s="15">
        <v>21153</v>
      </c>
      <c r="J1166" s="15">
        <v>0</v>
      </c>
      <c r="K1166" s="15" t="s">
        <v>1277</v>
      </c>
      <c r="L1166" s="43" t="s">
        <v>4903</v>
      </c>
      <c r="M1166" s="41" t="s">
        <v>4904</v>
      </c>
      <c r="N1166" s="41" t="s">
        <v>4905</v>
      </c>
      <c r="O1166" s="41" t="s">
        <v>4906</v>
      </c>
      <c r="P1166" s="41">
        <v>17</v>
      </c>
      <c r="Q1166" s="41">
        <v>9</v>
      </c>
      <c r="R1166" s="41">
        <v>82</v>
      </c>
      <c r="S1166" t="s">
        <v>3321</v>
      </c>
      <c r="T1166" s="15" t="s">
        <v>1347</v>
      </c>
      <c r="U1166" s="15"/>
      <c r="V1166" s="15" t="s">
        <v>4907</v>
      </c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t="s">
        <v>359</v>
      </c>
    </row>
    <row r="1167" spans="1:34" ht="15.75">
      <c r="A1167" s="29">
        <f t="shared" si="18"/>
        <v>1755</v>
      </c>
      <c r="B1167" s="15">
        <v>860</v>
      </c>
      <c r="C1167" s="15">
        <v>6</v>
      </c>
      <c r="D1167" s="2">
        <v>1817</v>
      </c>
      <c r="E1167">
        <v>4397</v>
      </c>
      <c r="F1167" s="15"/>
      <c r="G1167" s="15"/>
      <c r="H1167" s="15" t="s">
        <v>1541</v>
      </c>
      <c r="I1167" s="15">
        <v>1755</v>
      </c>
      <c r="J1167" s="15">
        <v>0</v>
      </c>
      <c r="K1167" s="15" t="s">
        <v>1277</v>
      </c>
      <c r="L1167" s="43" t="s">
        <v>4908</v>
      </c>
      <c r="P1167" s="41">
        <v>17</v>
      </c>
      <c r="Q1167" s="41">
        <v>8</v>
      </c>
      <c r="R1167" s="41" t="s">
        <v>868</v>
      </c>
      <c r="S1167" t="s">
        <v>1547</v>
      </c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t="s">
        <v>359</v>
      </c>
    </row>
    <row r="1168" spans="1:34" ht="15.75">
      <c r="A1168" s="29">
        <f t="shared" si="18"/>
        <v>1469</v>
      </c>
      <c r="B1168" s="15">
        <v>860</v>
      </c>
      <c r="C1168" s="15">
        <v>6</v>
      </c>
      <c r="D1168" s="2">
        <v>1817</v>
      </c>
      <c r="E1168">
        <v>4398</v>
      </c>
      <c r="F1168" s="15"/>
      <c r="G1168" s="15"/>
      <c r="H1168" s="15" t="s">
        <v>1541</v>
      </c>
      <c r="I1168" s="15">
        <v>1469</v>
      </c>
      <c r="J1168" s="15">
        <v>0</v>
      </c>
      <c r="K1168" s="15" t="s">
        <v>1277</v>
      </c>
      <c r="L1168" s="43" t="s">
        <v>4909</v>
      </c>
      <c r="P1168" s="41">
        <v>12</v>
      </c>
      <c r="Q1168" s="41">
        <v>9</v>
      </c>
      <c r="R1168" s="41" t="s">
        <v>868</v>
      </c>
      <c r="S1168" t="s">
        <v>1547</v>
      </c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t="s">
        <v>359</v>
      </c>
    </row>
    <row r="1169" spans="1:34" ht="15.75">
      <c r="A1169" s="29">
        <f t="shared" si="18"/>
        <v>119</v>
      </c>
      <c r="B1169" s="15">
        <v>860</v>
      </c>
      <c r="C1169" s="15">
        <v>6</v>
      </c>
      <c r="D1169" s="2">
        <v>1817</v>
      </c>
      <c r="E1169">
        <v>4399</v>
      </c>
      <c r="F1169" s="15"/>
      <c r="G1169" s="15"/>
      <c r="H1169" s="15" t="s">
        <v>1541</v>
      </c>
      <c r="I1169" s="15">
        <v>119</v>
      </c>
      <c r="J1169" s="15">
        <v>0</v>
      </c>
      <c r="K1169" s="15" t="s">
        <v>1277</v>
      </c>
      <c r="L1169" s="43" t="s">
        <v>3336</v>
      </c>
      <c r="P1169" s="41">
        <v>29</v>
      </c>
      <c r="Q1169" s="41">
        <v>12</v>
      </c>
      <c r="R1169" s="41" t="s">
        <v>868</v>
      </c>
      <c r="S1169" t="s">
        <v>1547</v>
      </c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t="s">
        <v>359</v>
      </c>
    </row>
    <row r="1170" spans="1:34" ht="15.75">
      <c r="A1170" s="29">
        <f t="shared" si="18"/>
        <v>248</v>
      </c>
      <c r="B1170" s="15">
        <v>860</v>
      </c>
      <c r="C1170" s="15">
        <v>6</v>
      </c>
      <c r="D1170" s="2">
        <v>1817</v>
      </c>
      <c r="E1170">
        <v>4400</v>
      </c>
      <c r="F1170" s="15"/>
      <c r="G1170" s="15"/>
      <c r="H1170" s="15" t="s">
        <v>1540</v>
      </c>
      <c r="I1170" s="15">
        <v>248</v>
      </c>
      <c r="J1170" s="15">
        <v>0</v>
      </c>
      <c r="K1170" s="15" t="s">
        <v>1277</v>
      </c>
      <c r="L1170" s="43" t="s">
        <v>5995</v>
      </c>
      <c r="P1170" s="41">
        <v>19</v>
      </c>
      <c r="Q1170" s="41">
        <v>3</v>
      </c>
      <c r="R1170" s="41">
        <v>29</v>
      </c>
      <c r="S1170" s="15" t="s">
        <v>3343</v>
      </c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t="s">
        <v>359</v>
      </c>
    </row>
    <row r="1171" spans="1:34" ht="15.75">
      <c r="A1171" s="29">
        <f t="shared" si="18"/>
        <v>700</v>
      </c>
      <c r="B1171" s="15">
        <v>860</v>
      </c>
      <c r="C1171" s="15">
        <v>6</v>
      </c>
      <c r="D1171" s="2">
        <v>1817</v>
      </c>
      <c r="E1171">
        <v>4401</v>
      </c>
      <c r="F1171" s="15"/>
      <c r="G1171" s="15"/>
      <c r="H1171" s="15" t="s">
        <v>1541</v>
      </c>
      <c r="I1171" s="15">
        <v>700</v>
      </c>
      <c r="J1171" s="15">
        <v>0</v>
      </c>
      <c r="K1171" s="15" t="s">
        <v>1277</v>
      </c>
      <c r="L1171" s="43" t="s">
        <v>3338</v>
      </c>
      <c r="P1171" s="41">
        <v>6</v>
      </c>
      <c r="Q1171" s="41">
        <v>2</v>
      </c>
      <c r="R1171" s="41">
        <v>50</v>
      </c>
      <c r="S1171" s="15" t="s">
        <v>3329</v>
      </c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t="s">
        <v>359</v>
      </c>
    </row>
    <row r="1172" spans="1:34" ht="15.75">
      <c r="A1172" s="29">
        <f t="shared" si="18"/>
        <v>80</v>
      </c>
      <c r="B1172" s="15">
        <v>860</v>
      </c>
      <c r="C1172" s="15">
        <v>6</v>
      </c>
      <c r="D1172" s="2">
        <v>1817</v>
      </c>
      <c r="E1172">
        <v>4402</v>
      </c>
      <c r="F1172" s="15"/>
      <c r="G1172" s="15"/>
      <c r="H1172" s="15" t="s">
        <v>1540</v>
      </c>
      <c r="I1172" s="15">
        <v>80</v>
      </c>
      <c r="J1172" s="15">
        <v>0</v>
      </c>
      <c r="K1172" s="15" t="s">
        <v>1277</v>
      </c>
      <c r="L1172" s="43" t="s">
        <v>3338</v>
      </c>
      <c r="P1172" s="41">
        <v>30</v>
      </c>
      <c r="Q1172" s="41">
        <v>8</v>
      </c>
      <c r="R1172" s="41">
        <v>66</v>
      </c>
      <c r="S1172" t="s">
        <v>3321</v>
      </c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t="s">
        <v>359</v>
      </c>
    </row>
    <row r="1173" spans="1:34" ht="15.75">
      <c r="A1173" s="29">
        <f t="shared" si="18"/>
        <v>80</v>
      </c>
      <c r="B1173" s="15">
        <v>860</v>
      </c>
      <c r="C1173" s="15">
        <v>6</v>
      </c>
      <c r="D1173" s="2">
        <v>1817</v>
      </c>
      <c r="E1173">
        <v>4403</v>
      </c>
      <c r="F1173" s="15"/>
      <c r="G1173" s="15"/>
      <c r="H1173" s="15" t="s">
        <v>1540</v>
      </c>
      <c r="I1173" s="15">
        <v>80</v>
      </c>
      <c r="J1173" s="15">
        <v>0</v>
      </c>
      <c r="K1173" s="15" t="s">
        <v>1277</v>
      </c>
      <c r="L1173" s="43" t="s">
        <v>3338</v>
      </c>
      <c r="P1173" s="41">
        <v>8</v>
      </c>
      <c r="Q1173" s="41">
        <v>7</v>
      </c>
      <c r="R1173" s="41">
        <v>60</v>
      </c>
      <c r="S1173" t="s">
        <v>3321</v>
      </c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t="s">
        <v>359</v>
      </c>
    </row>
    <row r="1174" spans="1:34" ht="15.75">
      <c r="A1174" s="29">
        <f t="shared" si="18"/>
        <v>116</v>
      </c>
      <c r="B1174" s="15">
        <v>860</v>
      </c>
      <c r="C1174" s="15">
        <v>6</v>
      </c>
      <c r="D1174" s="2">
        <v>1817</v>
      </c>
      <c r="E1174">
        <v>4404</v>
      </c>
      <c r="F1174" s="15"/>
      <c r="G1174" s="15"/>
      <c r="H1174" s="15" t="s">
        <v>1541</v>
      </c>
      <c r="I1174" s="15">
        <v>116</v>
      </c>
      <c r="J1174" s="15">
        <v>0</v>
      </c>
      <c r="K1174" s="15" t="s">
        <v>1277</v>
      </c>
      <c r="L1174" s="43" t="s">
        <v>3338</v>
      </c>
      <c r="P1174" s="41">
        <v>4</v>
      </c>
      <c r="Q1174" s="41">
        <v>10</v>
      </c>
      <c r="R1174" s="41" t="s">
        <v>868</v>
      </c>
      <c r="S1174" t="s">
        <v>3321</v>
      </c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t="s">
        <v>359</v>
      </c>
    </row>
    <row r="1175" spans="1:34" ht="15">
      <c r="A1175" s="29">
        <f t="shared" si="18"/>
        <v>2506</v>
      </c>
      <c r="B1175" s="15">
        <v>860</v>
      </c>
      <c r="C1175" s="15">
        <v>6</v>
      </c>
      <c r="D1175" s="15">
        <v>1817</v>
      </c>
      <c r="E1175">
        <v>4405</v>
      </c>
      <c r="F1175" s="15"/>
      <c r="G1175" s="15"/>
      <c r="H1175" s="15" t="s">
        <v>1541</v>
      </c>
      <c r="I1175" s="15">
        <v>2506</v>
      </c>
      <c r="J1175" s="15">
        <v>0</v>
      </c>
      <c r="K1175" s="15" t="s">
        <v>1277</v>
      </c>
      <c r="L1175" s="43" t="s">
        <v>3338</v>
      </c>
      <c r="P1175" s="41">
        <v>12</v>
      </c>
      <c r="Q1175" s="41">
        <v>10</v>
      </c>
      <c r="R1175" s="41" t="s">
        <v>868</v>
      </c>
      <c r="S1175" s="15" t="s">
        <v>3329</v>
      </c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t="s">
        <v>359</v>
      </c>
    </row>
    <row r="1176" spans="1:34" ht="15.75">
      <c r="A1176" s="29">
        <f t="shared" si="18"/>
        <v>36</v>
      </c>
      <c r="B1176" s="15">
        <v>861</v>
      </c>
      <c r="C1176" s="15">
        <v>6</v>
      </c>
      <c r="D1176" s="2">
        <v>1817</v>
      </c>
      <c r="E1176">
        <v>4431</v>
      </c>
      <c r="F1176" s="15"/>
      <c r="G1176" s="15"/>
      <c r="H1176" s="15" t="s">
        <v>1541</v>
      </c>
      <c r="I1176" s="15">
        <v>36</v>
      </c>
      <c r="J1176" s="15">
        <v>0</v>
      </c>
      <c r="K1176" s="15" t="s">
        <v>866</v>
      </c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t="s">
        <v>359</v>
      </c>
    </row>
    <row r="1177" spans="1:34" ht="15.75">
      <c r="A1177" s="29">
        <f t="shared" si="18"/>
        <v>1138</v>
      </c>
      <c r="B1177" s="15">
        <v>861</v>
      </c>
      <c r="C1177" s="15">
        <v>6</v>
      </c>
      <c r="D1177" s="2">
        <v>1817</v>
      </c>
      <c r="E1177">
        <v>4432</v>
      </c>
      <c r="F1177" s="15"/>
      <c r="G1177" s="15"/>
      <c r="H1177" s="15" t="s">
        <v>1541</v>
      </c>
      <c r="I1177" s="15">
        <v>1138</v>
      </c>
      <c r="J1177" s="15">
        <v>0</v>
      </c>
      <c r="K1177" s="15" t="s">
        <v>866</v>
      </c>
      <c r="L1177" s="43" t="s">
        <v>5239</v>
      </c>
      <c r="P1177" s="41">
        <v>10</v>
      </c>
      <c r="Q1177" s="41">
        <v>10</v>
      </c>
      <c r="R1177" s="41" t="s">
        <v>868</v>
      </c>
      <c r="S1177" s="15" t="s">
        <v>3329</v>
      </c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t="s">
        <v>359</v>
      </c>
    </row>
    <row r="1178" spans="1:34" ht="15.75">
      <c r="A1178" s="29">
        <f t="shared" si="18"/>
        <v>728</v>
      </c>
      <c r="B1178" s="15">
        <v>861</v>
      </c>
      <c r="C1178" s="15">
        <v>6</v>
      </c>
      <c r="D1178" s="2">
        <v>1817</v>
      </c>
      <c r="E1178">
        <v>4433</v>
      </c>
      <c r="F1178" s="15"/>
      <c r="G1178" s="15"/>
      <c r="H1178" s="15" t="s">
        <v>1541</v>
      </c>
      <c r="I1178" s="15">
        <v>728</v>
      </c>
      <c r="J1178" s="15">
        <v>0</v>
      </c>
      <c r="K1178" s="15" t="s">
        <v>866</v>
      </c>
      <c r="L1178" s="43" t="s">
        <v>5239</v>
      </c>
      <c r="P1178" s="41">
        <v>10</v>
      </c>
      <c r="Q1178" s="41">
        <v>10</v>
      </c>
      <c r="R1178" s="41">
        <v>79</v>
      </c>
      <c r="S1178" s="15" t="s">
        <v>3329</v>
      </c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t="s">
        <v>359</v>
      </c>
    </row>
    <row r="1179" spans="1:34" ht="15.75">
      <c r="A1179" s="29">
        <f t="shared" si="18"/>
        <v>9644</v>
      </c>
      <c r="B1179" s="15">
        <v>861</v>
      </c>
      <c r="C1179" s="15">
        <v>6</v>
      </c>
      <c r="D1179" s="2">
        <v>1817</v>
      </c>
      <c r="E1179">
        <v>4434</v>
      </c>
      <c r="F1179" s="15"/>
      <c r="G1179" s="15"/>
      <c r="H1179" s="15" t="s">
        <v>1540</v>
      </c>
      <c r="I1179" s="15">
        <v>9644</v>
      </c>
      <c r="J1179" s="15">
        <v>0</v>
      </c>
      <c r="K1179" s="15" t="s">
        <v>866</v>
      </c>
      <c r="L1179" s="43" t="s">
        <v>5239</v>
      </c>
      <c r="P1179" s="41">
        <v>1</v>
      </c>
      <c r="Q1179" s="41">
        <v>12</v>
      </c>
      <c r="R1179" s="41" t="s">
        <v>868</v>
      </c>
      <c r="S1179" t="s">
        <v>1547</v>
      </c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t="s">
        <v>359</v>
      </c>
    </row>
    <row r="1180" spans="1:34" ht="15.75">
      <c r="A1180" s="29">
        <f t="shared" si="18"/>
        <v>80</v>
      </c>
      <c r="B1180" s="15">
        <v>861</v>
      </c>
      <c r="C1180" s="15">
        <v>6</v>
      </c>
      <c r="D1180" s="2">
        <v>1817</v>
      </c>
      <c r="E1180">
        <v>4435</v>
      </c>
      <c r="F1180" s="15"/>
      <c r="G1180" s="15"/>
      <c r="H1180" s="15" t="s">
        <v>1541</v>
      </c>
      <c r="I1180" s="15">
        <v>80</v>
      </c>
      <c r="J1180" s="15">
        <v>0</v>
      </c>
      <c r="K1180" s="15" t="s">
        <v>866</v>
      </c>
      <c r="L1180" s="43" t="s">
        <v>4910</v>
      </c>
      <c r="P1180" s="41">
        <v>10</v>
      </c>
      <c r="Q1180" s="41">
        <v>10</v>
      </c>
      <c r="R1180" s="41" t="s">
        <v>868</v>
      </c>
      <c r="S1180" s="15" t="s">
        <v>3329</v>
      </c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t="s">
        <v>359</v>
      </c>
    </row>
    <row r="1181" spans="1:34" ht="15.75">
      <c r="A1181" s="29">
        <f t="shared" si="18"/>
        <v>18073</v>
      </c>
      <c r="B1181" s="18">
        <v>861</v>
      </c>
      <c r="C1181" s="15">
        <v>6</v>
      </c>
      <c r="D1181" s="2">
        <v>1817</v>
      </c>
      <c r="E1181">
        <v>4436</v>
      </c>
      <c r="F1181" s="18"/>
      <c r="G1181" s="18"/>
      <c r="H1181" s="18" t="s">
        <v>1541</v>
      </c>
      <c r="I1181" s="18">
        <v>18073</v>
      </c>
      <c r="J1181" s="18">
        <v>0</v>
      </c>
      <c r="K1181" s="15" t="s">
        <v>866</v>
      </c>
      <c r="L1181" s="43" t="s">
        <v>4911</v>
      </c>
      <c r="M1181" s="41" t="s">
        <v>4912</v>
      </c>
      <c r="O1181" s="41" t="s">
        <v>4913</v>
      </c>
      <c r="P1181" s="41">
        <v>3</v>
      </c>
      <c r="Q1181" s="41">
        <v>6</v>
      </c>
      <c r="R1181" s="41">
        <v>64</v>
      </c>
      <c r="S1181" s="15" t="s">
        <v>4914</v>
      </c>
      <c r="T1181" s="15" t="s">
        <v>4915</v>
      </c>
      <c r="U1181" s="15"/>
      <c r="V1181" s="15" t="s">
        <v>896</v>
      </c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t="s">
        <v>359</v>
      </c>
    </row>
    <row r="1182" spans="1:34" ht="15.75">
      <c r="A1182" s="29">
        <f t="shared" si="18"/>
        <v>262</v>
      </c>
      <c r="B1182" s="15">
        <v>861</v>
      </c>
      <c r="C1182" s="15">
        <v>6</v>
      </c>
      <c r="D1182" s="2">
        <v>1817</v>
      </c>
      <c r="E1182">
        <v>4437</v>
      </c>
      <c r="F1182" s="15"/>
      <c r="G1182" s="15"/>
      <c r="H1182" s="18" t="s">
        <v>850</v>
      </c>
      <c r="I1182" s="15">
        <v>262</v>
      </c>
      <c r="J1182" s="15">
        <v>0</v>
      </c>
      <c r="K1182" s="15" t="s">
        <v>4916</v>
      </c>
      <c r="L1182" s="43" t="s">
        <v>4917</v>
      </c>
      <c r="P1182" s="41">
        <v>16</v>
      </c>
      <c r="Q1182" s="41">
        <v>5</v>
      </c>
      <c r="R1182" s="41">
        <v>41</v>
      </c>
      <c r="S1182" t="s">
        <v>3321</v>
      </c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t="s">
        <v>359</v>
      </c>
    </row>
    <row r="1183" spans="1:34" ht="15.75">
      <c r="A1183" s="29">
        <f t="shared" si="18"/>
        <v>4736</v>
      </c>
      <c r="B1183" s="15">
        <v>862</v>
      </c>
      <c r="C1183" s="15">
        <v>6</v>
      </c>
      <c r="D1183" s="2">
        <v>1817</v>
      </c>
      <c r="E1183">
        <v>4474</v>
      </c>
      <c r="F1183" s="15"/>
      <c r="G1183" s="15"/>
      <c r="H1183" s="15" t="s">
        <v>1541</v>
      </c>
      <c r="I1183" s="15">
        <v>4736</v>
      </c>
      <c r="J1183" s="15">
        <v>0</v>
      </c>
      <c r="K1183" s="15" t="s">
        <v>866</v>
      </c>
      <c r="L1183" s="43" t="s">
        <v>5243</v>
      </c>
      <c r="P1183" s="41">
        <v>17</v>
      </c>
      <c r="Q1183" s="41">
        <v>9</v>
      </c>
      <c r="R1183" s="41">
        <v>52</v>
      </c>
      <c r="S1183" t="s">
        <v>3321</v>
      </c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t="s">
        <v>359</v>
      </c>
    </row>
    <row r="1184" spans="1:34" ht="15.75">
      <c r="A1184" s="29">
        <f t="shared" si="18"/>
        <v>4500</v>
      </c>
      <c r="B1184" s="15">
        <v>862</v>
      </c>
      <c r="C1184" s="15">
        <v>6</v>
      </c>
      <c r="D1184" s="2">
        <v>1817</v>
      </c>
      <c r="E1184">
        <v>4475</v>
      </c>
      <c r="F1184" s="15"/>
      <c r="G1184" s="15"/>
      <c r="H1184" s="15" t="s">
        <v>1541</v>
      </c>
      <c r="I1184" s="15">
        <v>4500</v>
      </c>
      <c r="J1184" s="15">
        <v>0</v>
      </c>
      <c r="K1184" s="15" t="s">
        <v>866</v>
      </c>
      <c r="L1184" s="43" t="s">
        <v>4921</v>
      </c>
      <c r="P1184" s="41">
        <v>3</v>
      </c>
      <c r="Q1184" s="41">
        <v>11</v>
      </c>
      <c r="R1184" s="41" t="s">
        <v>868</v>
      </c>
      <c r="S1184" t="s">
        <v>3321</v>
      </c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t="s">
        <v>359</v>
      </c>
    </row>
    <row r="1185" spans="1:34" ht="15.75">
      <c r="A1185" s="29">
        <f t="shared" si="18"/>
        <v>205</v>
      </c>
      <c r="B1185" s="15">
        <v>862</v>
      </c>
      <c r="C1185" s="15">
        <v>6</v>
      </c>
      <c r="D1185" s="2">
        <v>1817</v>
      </c>
      <c r="E1185">
        <v>4476</v>
      </c>
      <c r="F1185" s="15"/>
      <c r="G1185" s="15"/>
      <c r="H1185" s="15" t="s">
        <v>1540</v>
      </c>
      <c r="I1185" s="15">
        <v>205</v>
      </c>
      <c r="J1185" s="15">
        <v>0</v>
      </c>
      <c r="K1185" s="15" t="s">
        <v>866</v>
      </c>
      <c r="L1185" s="43" t="s">
        <v>5249</v>
      </c>
      <c r="P1185" s="41">
        <v>6</v>
      </c>
      <c r="Q1185" s="41">
        <v>5</v>
      </c>
      <c r="R1185" s="41">
        <v>64</v>
      </c>
      <c r="S1185" s="15" t="s">
        <v>3343</v>
      </c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t="s">
        <v>359</v>
      </c>
    </row>
    <row r="1186" spans="1:34" ht="15.75">
      <c r="A1186" s="29">
        <f t="shared" si="18"/>
        <v>204</v>
      </c>
      <c r="B1186" s="15">
        <v>862</v>
      </c>
      <c r="C1186" s="15">
        <v>6</v>
      </c>
      <c r="D1186" s="2">
        <v>1817</v>
      </c>
      <c r="E1186">
        <v>4477</v>
      </c>
      <c r="F1186" s="15"/>
      <c r="G1186" s="15"/>
      <c r="H1186" s="15" t="s">
        <v>1540</v>
      </c>
      <c r="I1186" s="15">
        <v>204</v>
      </c>
      <c r="J1186" s="15">
        <v>0</v>
      </c>
      <c r="K1186" s="15" t="s">
        <v>866</v>
      </c>
      <c r="L1186" s="43" t="s">
        <v>5257</v>
      </c>
      <c r="P1186" s="41">
        <v>26</v>
      </c>
      <c r="Q1186" s="41">
        <v>11</v>
      </c>
      <c r="R1186" s="41" t="s">
        <v>868</v>
      </c>
      <c r="S1186" t="s">
        <v>1547</v>
      </c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t="s">
        <v>359</v>
      </c>
    </row>
    <row r="1187" spans="1:34" ht="15.75">
      <c r="A1187" s="29">
        <f t="shared" si="18"/>
        <v>493</v>
      </c>
      <c r="B1187" s="15">
        <v>862</v>
      </c>
      <c r="C1187" s="15">
        <v>6</v>
      </c>
      <c r="D1187" s="2">
        <v>1817</v>
      </c>
      <c r="E1187">
        <v>4478</v>
      </c>
      <c r="F1187" s="15"/>
      <c r="G1187" s="15"/>
      <c r="H1187" s="15" t="s">
        <v>1540</v>
      </c>
      <c r="I1187" s="15">
        <v>493</v>
      </c>
      <c r="J1187" s="15">
        <v>0</v>
      </c>
      <c r="K1187" s="15" t="s">
        <v>866</v>
      </c>
      <c r="L1187" s="43" t="s">
        <v>5997</v>
      </c>
      <c r="P1187" s="41">
        <v>1</v>
      </c>
      <c r="Q1187" s="41">
        <v>11</v>
      </c>
      <c r="R1187" s="41">
        <v>62</v>
      </c>
      <c r="S1187" t="s">
        <v>3321</v>
      </c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t="s">
        <v>359</v>
      </c>
    </row>
    <row r="1188" spans="1:34" ht="15.75">
      <c r="A1188" s="29">
        <f t="shared" si="18"/>
        <v>20</v>
      </c>
      <c r="B1188" s="15">
        <v>863</v>
      </c>
      <c r="C1188" s="15">
        <v>6</v>
      </c>
      <c r="D1188" s="2">
        <v>1817</v>
      </c>
      <c r="E1188">
        <v>4522</v>
      </c>
      <c r="F1188" s="15"/>
      <c r="G1188" s="15"/>
      <c r="H1188" s="15" t="s">
        <v>1541</v>
      </c>
      <c r="I1188" s="15">
        <v>20</v>
      </c>
      <c r="J1188" s="15">
        <v>0</v>
      </c>
      <c r="K1188" s="15" t="s">
        <v>866</v>
      </c>
      <c r="L1188" s="43" t="s">
        <v>5261</v>
      </c>
      <c r="P1188" s="41">
        <v>5</v>
      </c>
      <c r="Q1188" s="41">
        <v>8</v>
      </c>
      <c r="R1188" s="41">
        <v>50</v>
      </c>
      <c r="S1188" s="15" t="s">
        <v>3329</v>
      </c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t="s">
        <v>359</v>
      </c>
    </row>
    <row r="1189" spans="1:34" ht="15.75">
      <c r="A1189" s="29">
        <f t="shared" si="18"/>
        <v>198</v>
      </c>
      <c r="B1189" s="15">
        <v>863</v>
      </c>
      <c r="C1189" s="15">
        <v>6</v>
      </c>
      <c r="D1189" s="2">
        <v>1817</v>
      </c>
      <c r="E1189">
        <v>4523</v>
      </c>
      <c r="F1189" s="15"/>
      <c r="G1189" s="15"/>
      <c r="H1189" s="15" t="s">
        <v>1541</v>
      </c>
      <c r="I1189" s="15">
        <v>198</v>
      </c>
      <c r="J1189" s="15">
        <v>0</v>
      </c>
      <c r="K1189" s="15" t="s">
        <v>866</v>
      </c>
      <c r="L1189" s="43" t="s">
        <v>4922</v>
      </c>
      <c r="P1189" s="41">
        <v>28</v>
      </c>
      <c r="Q1189" s="41">
        <v>9</v>
      </c>
      <c r="R1189" s="41">
        <v>29</v>
      </c>
      <c r="S1189" s="15" t="s">
        <v>3343</v>
      </c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t="s">
        <v>359</v>
      </c>
    </row>
    <row r="1190" spans="1:34" ht="15.75">
      <c r="A1190" s="29">
        <f t="shared" si="18"/>
        <v>105</v>
      </c>
      <c r="B1190" s="15">
        <v>863</v>
      </c>
      <c r="C1190" s="15">
        <v>6</v>
      </c>
      <c r="D1190" s="2">
        <v>1817</v>
      </c>
      <c r="E1190">
        <v>4524</v>
      </c>
      <c r="F1190" s="15"/>
      <c r="G1190" s="15"/>
      <c r="H1190" s="15" t="s">
        <v>1541</v>
      </c>
      <c r="I1190" s="15">
        <v>105</v>
      </c>
      <c r="J1190" s="15">
        <v>0</v>
      </c>
      <c r="K1190" s="15" t="s">
        <v>866</v>
      </c>
      <c r="L1190" s="43" t="s">
        <v>4923</v>
      </c>
      <c r="P1190" s="41">
        <v>28</v>
      </c>
      <c r="Q1190" s="41">
        <v>10</v>
      </c>
      <c r="R1190" s="41" t="s">
        <v>868</v>
      </c>
      <c r="S1190" t="s">
        <v>1547</v>
      </c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t="s">
        <v>359</v>
      </c>
    </row>
    <row r="1191" spans="1:34" ht="15.75">
      <c r="A1191" s="29">
        <f t="shared" si="18"/>
        <v>42484</v>
      </c>
      <c r="B1191" s="18">
        <v>863</v>
      </c>
      <c r="C1191" s="15">
        <v>6</v>
      </c>
      <c r="D1191" s="2">
        <v>1817</v>
      </c>
      <c r="E1191">
        <v>4525</v>
      </c>
      <c r="F1191" s="18"/>
      <c r="G1191" s="18"/>
      <c r="H1191" s="18" t="s">
        <v>1541</v>
      </c>
      <c r="I1191" s="18">
        <v>42484</v>
      </c>
      <c r="J1191" s="18">
        <v>0</v>
      </c>
      <c r="K1191" s="15" t="s">
        <v>866</v>
      </c>
      <c r="L1191" s="43" t="s">
        <v>3707</v>
      </c>
      <c r="M1191" s="41" t="s">
        <v>2290</v>
      </c>
      <c r="O1191" s="41" t="s">
        <v>3708</v>
      </c>
      <c r="P1191" s="41">
        <v>14</v>
      </c>
      <c r="Q1191" s="41">
        <v>1</v>
      </c>
      <c r="R1191" s="41" t="s">
        <v>868</v>
      </c>
      <c r="S1191" s="15" t="s">
        <v>3710</v>
      </c>
      <c r="T1191" s="15" t="s">
        <v>4646</v>
      </c>
      <c r="U1191" s="15" t="s">
        <v>3709</v>
      </c>
      <c r="V1191" s="15" t="s">
        <v>3711</v>
      </c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t="s">
        <v>359</v>
      </c>
    </row>
    <row r="1192" spans="1:34" ht="15.75">
      <c r="A1192" s="29">
        <f t="shared" si="18"/>
        <v>32906</v>
      </c>
      <c r="B1192" s="18">
        <v>863</v>
      </c>
      <c r="C1192" s="15">
        <v>6</v>
      </c>
      <c r="D1192" s="2">
        <v>1817</v>
      </c>
      <c r="E1192">
        <v>4526</v>
      </c>
      <c r="F1192" s="18"/>
      <c r="G1192" s="18"/>
      <c r="H1192" s="18" t="s">
        <v>1540</v>
      </c>
      <c r="I1192" s="18">
        <v>12906</v>
      </c>
      <c r="J1192" s="18">
        <v>2000</v>
      </c>
      <c r="K1192" s="15" t="s">
        <v>866</v>
      </c>
      <c r="L1192" s="43" t="s">
        <v>3529</v>
      </c>
      <c r="M1192" s="41" t="s">
        <v>4738</v>
      </c>
      <c r="N1192" s="41" t="s">
        <v>3712</v>
      </c>
      <c r="O1192" s="41" t="s">
        <v>3713</v>
      </c>
      <c r="P1192" s="41">
        <v>14</v>
      </c>
      <c r="Q1192" s="41">
        <v>12</v>
      </c>
      <c r="R1192" s="41">
        <v>57</v>
      </c>
      <c r="S1192" s="15"/>
      <c r="T1192" s="15"/>
      <c r="U1192" s="15" t="s">
        <v>3714</v>
      </c>
      <c r="V1192" s="15" t="s">
        <v>4781</v>
      </c>
      <c r="W1192" s="15"/>
      <c r="X1192" s="15">
        <v>0.5</v>
      </c>
      <c r="Y1192" s="15" t="s">
        <v>3713</v>
      </c>
      <c r="Z1192" s="15"/>
      <c r="AA1192" s="15"/>
      <c r="AB1192" s="15"/>
      <c r="AC1192" s="15"/>
      <c r="AD1192" s="15"/>
      <c r="AE1192" s="15"/>
      <c r="AF1192" s="15"/>
      <c r="AG1192" s="15"/>
      <c r="AH1192" t="s">
        <v>359</v>
      </c>
    </row>
    <row r="1193" spans="1:34" ht="15.75">
      <c r="A1193" s="29">
        <f t="shared" si="18"/>
        <v>960</v>
      </c>
      <c r="B1193" s="15">
        <v>864</v>
      </c>
      <c r="C1193" s="15">
        <v>6</v>
      </c>
      <c r="D1193" s="2">
        <v>1817</v>
      </c>
      <c r="E1193">
        <v>4567</v>
      </c>
      <c r="F1193" s="15"/>
      <c r="G1193" s="15"/>
      <c r="H1193" s="15" t="s">
        <v>4655</v>
      </c>
      <c r="I1193" s="15">
        <v>960</v>
      </c>
      <c r="J1193" s="15">
        <v>0</v>
      </c>
      <c r="K1193" s="15" t="s">
        <v>866</v>
      </c>
      <c r="L1193" s="43" t="s">
        <v>3351</v>
      </c>
      <c r="P1193" s="41">
        <v>27</v>
      </c>
      <c r="Q1193" s="41">
        <v>12</v>
      </c>
      <c r="R1193" s="41">
        <v>55</v>
      </c>
      <c r="S1193" s="15" t="s">
        <v>3715</v>
      </c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t="s">
        <v>359</v>
      </c>
    </row>
    <row r="1194" spans="1:34" ht="15.75">
      <c r="A1194" s="29">
        <f t="shared" si="18"/>
        <v>678</v>
      </c>
      <c r="B1194" s="15">
        <v>864</v>
      </c>
      <c r="C1194" s="15">
        <v>6</v>
      </c>
      <c r="D1194" s="2">
        <v>1817</v>
      </c>
      <c r="E1194">
        <v>4568</v>
      </c>
      <c r="F1194" s="15"/>
      <c r="G1194" s="15"/>
      <c r="H1194" s="15" t="s">
        <v>1541</v>
      </c>
      <c r="I1194" s="15">
        <v>678</v>
      </c>
      <c r="J1194" s="15">
        <v>0</v>
      </c>
      <c r="K1194" s="15" t="s">
        <v>866</v>
      </c>
      <c r="L1194" s="43" t="s">
        <v>3353</v>
      </c>
      <c r="P1194" s="41">
        <v>5</v>
      </c>
      <c r="Q1194" s="41">
        <v>4</v>
      </c>
      <c r="R1194" s="41" t="s">
        <v>2897</v>
      </c>
      <c r="S1194" s="15" t="s">
        <v>3343</v>
      </c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t="s">
        <v>359</v>
      </c>
    </row>
    <row r="1195" spans="1:34" ht="15.75">
      <c r="A1195" s="39">
        <f t="shared" si="18"/>
        <v>110</v>
      </c>
      <c r="B1195" s="15">
        <v>864</v>
      </c>
      <c r="C1195" s="15">
        <v>6</v>
      </c>
      <c r="D1195" s="2">
        <v>1817</v>
      </c>
      <c r="E1195">
        <v>4569</v>
      </c>
      <c r="F1195" s="15"/>
      <c r="G1195" s="15"/>
      <c r="H1195" s="15" t="s">
        <v>1541</v>
      </c>
      <c r="I1195" s="15">
        <v>110</v>
      </c>
      <c r="J1195" s="15">
        <v>0</v>
      </c>
      <c r="K1195" s="15" t="s">
        <v>866</v>
      </c>
      <c r="L1195" s="43" t="s">
        <v>3355</v>
      </c>
      <c r="P1195" s="41">
        <v>20</v>
      </c>
      <c r="Q1195" s="41">
        <v>5</v>
      </c>
      <c r="R1195" s="41">
        <v>60</v>
      </c>
      <c r="S1195" t="s">
        <v>3321</v>
      </c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t="s">
        <v>359</v>
      </c>
    </row>
    <row r="1196" spans="1:34" ht="15.75">
      <c r="A1196" s="29">
        <f t="shared" si="18"/>
        <v>116</v>
      </c>
      <c r="B1196" s="15">
        <v>864</v>
      </c>
      <c r="C1196" s="15">
        <v>6</v>
      </c>
      <c r="D1196" s="2">
        <v>1817</v>
      </c>
      <c r="E1196">
        <v>4570</v>
      </c>
      <c r="F1196" s="15"/>
      <c r="G1196" s="15"/>
      <c r="H1196" s="15" t="s">
        <v>1541</v>
      </c>
      <c r="I1196" s="15">
        <v>116</v>
      </c>
      <c r="J1196" s="15">
        <v>0</v>
      </c>
      <c r="K1196" s="15" t="s">
        <v>866</v>
      </c>
      <c r="L1196" s="43" t="s">
        <v>3355</v>
      </c>
      <c r="P1196" s="41">
        <v>27</v>
      </c>
      <c r="Q1196" s="41">
        <v>8</v>
      </c>
      <c r="R1196" s="41">
        <v>46</v>
      </c>
      <c r="S1196" t="s">
        <v>3321</v>
      </c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t="s">
        <v>359</v>
      </c>
    </row>
    <row r="1197" spans="1:34" ht="15.75">
      <c r="A1197" s="29">
        <f t="shared" si="18"/>
        <v>280</v>
      </c>
      <c r="B1197" s="15">
        <v>864</v>
      </c>
      <c r="C1197" s="15">
        <v>6</v>
      </c>
      <c r="D1197" s="2">
        <v>1817</v>
      </c>
      <c r="E1197">
        <v>4571</v>
      </c>
      <c r="F1197" s="15"/>
      <c r="G1197" s="15"/>
      <c r="H1197" s="15" t="s">
        <v>1541</v>
      </c>
      <c r="I1197" s="15">
        <v>280</v>
      </c>
      <c r="J1197" s="15">
        <v>0</v>
      </c>
      <c r="K1197" s="15" t="s">
        <v>866</v>
      </c>
      <c r="L1197" s="43" t="s">
        <v>3356</v>
      </c>
      <c r="P1197" s="41">
        <v>15</v>
      </c>
      <c r="Q1197" s="41">
        <v>5</v>
      </c>
      <c r="R1197" s="41">
        <v>61</v>
      </c>
      <c r="S1197" t="s">
        <v>3321</v>
      </c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t="s">
        <v>359</v>
      </c>
    </row>
    <row r="1198" spans="1:34" ht="15.75">
      <c r="A1198" s="29">
        <f t="shared" si="18"/>
        <v>200</v>
      </c>
      <c r="B1198" s="18">
        <v>864</v>
      </c>
      <c r="C1198" s="15">
        <v>6</v>
      </c>
      <c r="D1198" s="2">
        <v>1817</v>
      </c>
      <c r="E1198">
        <v>4573</v>
      </c>
      <c r="F1198" s="18"/>
      <c r="G1198" s="18"/>
      <c r="H1198" s="18" t="s">
        <v>850</v>
      </c>
      <c r="I1198" s="18">
        <v>200</v>
      </c>
      <c r="J1198" s="18">
        <v>0</v>
      </c>
      <c r="K1198" s="15" t="s">
        <v>866</v>
      </c>
      <c r="L1198" s="43" t="s">
        <v>3696</v>
      </c>
      <c r="P1198" s="41">
        <v>22</v>
      </c>
      <c r="Q1198" s="41">
        <v>11</v>
      </c>
      <c r="R1198" s="41">
        <v>70</v>
      </c>
      <c r="S1198" s="15" t="s">
        <v>3329</v>
      </c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t="s">
        <v>359</v>
      </c>
    </row>
    <row r="1199" spans="1:34" ht="15.75">
      <c r="A1199" s="29">
        <f t="shared" si="18"/>
        <v>1236</v>
      </c>
      <c r="B1199" s="15">
        <v>864</v>
      </c>
      <c r="C1199" s="15">
        <v>6</v>
      </c>
      <c r="D1199" s="2">
        <v>1817</v>
      </c>
      <c r="E1199">
        <v>4574</v>
      </c>
      <c r="F1199" s="15"/>
      <c r="G1199" s="15"/>
      <c r="H1199" s="15" t="s">
        <v>1540</v>
      </c>
      <c r="I1199" s="15">
        <v>1236</v>
      </c>
      <c r="J1199" s="15">
        <v>0</v>
      </c>
      <c r="K1199" s="15" t="s">
        <v>866</v>
      </c>
      <c r="L1199" s="43" t="s">
        <v>5763</v>
      </c>
      <c r="P1199" s="41">
        <v>31</v>
      </c>
      <c r="Q1199" s="41">
        <v>10</v>
      </c>
      <c r="R1199" s="41">
        <v>39</v>
      </c>
      <c r="S1199" t="s">
        <v>3321</v>
      </c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t="s">
        <v>359</v>
      </c>
    </row>
    <row r="1200" spans="1:34" ht="15.75">
      <c r="A1200" s="29">
        <f t="shared" si="18"/>
        <v>4915</v>
      </c>
      <c r="B1200" s="15">
        <v>865</v>
      </c>
      <c r="C1200" s="15">
        <v>6</v>
      </c>
      <c r="D1200" s="2">
        <v>1817</v>
      </c>
      <c r="E1200">
        <v>4606</v>
      </c>
      <c r="F1200" s="15"/>
      <c r="G1200" s="15"/>
      <c r="H1200" s="15" t="s">
        <v>1540</v>
      </c>
      <c r="I1200" s="15">
        <v>4915</v>
      </c>
      <c r="J1200" s="15">
        <v>0</v>
      </c>
      <c r="K1200" s="15" t="s">
        <v>866</v>
      </c>
      <c r="L1200" s="43" t="s">
        <v>5764</v>
      </c>
      <c r="P1200" s="41">
        <v>18</v>
      </c>
      <c r="Q1200" s="41">
        <v>12</v>
      </c>
      <c r="R1200" s="41">
        <v>70</v>
      </c>
      <c r="S1200" t="s">
        <v>3321</v>
      </c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t="s">
        <v>359</v>
      </c>
    </row>
    <row r="1201" spans="1:34" ht="15.75">
      <c r="A1201" s="29">
        <f t="shared" si="18"/>
        <v>3740</v>
      </c>
      <c r="B1201" s="18">
        <v>865</v>
      </c>
      <c r="C1201" s="15">
        <v>6</v>
      </c>
      <c r="D1201" s="2">
        <v>1817</v>
      </c>
      <c r="E1201">
        <v>4607</v>
      </c>
      <c r="F1201" s="18"/>
      <c r="G1201" s="18"/>
      <c r="H1201" s="18" t="s">
        <v>1540</v>
      </c>
      <c r="I1201" s="18">
        <v>0</v>
      </c>
      <c r="J1201" s="18">
        <v>187</v>
      </c>
      <c r="K1201" s="15" t="s">
        <v>866</v>
      </c>
      <c r="L1201" s="43" t="s">
        <v>5264</v>
      </c>
      <c r="P1201" s="41">
        <v>18</v>
      </c>
      <c r="Q1201" s="41">
        <v>1</v>
      </c>
      <c r="R1201" s="41">
        <v>80</v>
      </c>
      <c r="S1201" t="s">
        <v>3321</v>
      </c>
      <c r="T1201" s="15"/>
      <c r="U1201" s="15"/>
      <c r="V1201" s="15"/>
      <c r="W1201" s="15"/>
      <c r="X1201" s="15">
        <v>1</v>
      </c>
      <c r="Y1201" s="15" t="s">
        <v>3717</v>
      </c>
      <c r="Z1201" s="15"/>
      <c r="AA1201" s="15"/>
      <c r="AB1201" s="15"/>
      <c r="AC1201" s="15"/>
      <c r="AD1201" s="15"/>
      <c r="AE1201" s="15"/>
      <c r="AF1201" s="15"/>
      <c r="AG1201" s="15"/>
      <c r="AH1201" t="s">
        <v>359</v>
      </c>
    </row>
    <row r="1202" spans="1:34" ht="15.75">
      <c r="A1202" s="29">
        <f t="shared" si="18"/>
        <v>293</v>
      </c>
      <c r="B1202" s="18">
        <v>865</v>
      </c>
      <c r="C1202" s="15">
        <v>6</v>
      </c>
      <c r="D1202" s="2">
        <v>1817</v>
      </c>
      <c r="E1202">
        <v>4608</v>
      </c>
      <c r="F1202" s="18"/>
      <c r="G1202" s="18"/>
      <c r="H1202" s="18" t="s">
        <v>1541</v>
      </c>
      <c r="I1202" s="18">
        <v>293</v>
      </c>
      <c r="J1202" s="18">
        <v>0</v>
      </c>
      <c r="K1202" s="15" t="s">
        <v>866</v>
      </c>
      <c r="L1202" s="43" t="s">
        <v>5265</v>
      </c>
      <c r="P1202" s="41">
        <v>22</v>
      </c>
      <c r="Q1202" s="41">
        <v>5</v>
      </c>
      <c r="R1202" s="41">
        <v>30</v>
      </c>
      <c r="S1202" t="s">
        <v>3321</v>
      </c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t="s">
        <v>359</v>
      </c>
    </row>
    <row r="1203" spans="1:34" ht="15.75">
      <c r="A1203" s="29">
        <f t="shared" si="18"/>
        <v>23610</v>
      </c>
      <c r="B1203" s="18">
        <v>865</v>
      </c>
      <c r="C1203" s="15">
        <v>6</v>
      </c>
      <c r="D1203" s="2">
        <v>1817</v>
      </c>
      <c r="E1203">
        <v>4609</v>
      </c>
      <c r="F1203" s="18"/>
      <c r="G1203" s="18"/>
      <c r="H1203" s="18" t="s">
        <v>1540</v>
      </c>
      <c r="I1203" s="18">
        <v>23610</v>
      </c>
      <c r="J1203" s="18"/>
      <c r="K1203" s="15" t="s">
        <v>866</v>
      </c>
      <c r="L1203" s="43" t="s">
        <v>3718</v>
      </c>
      <c r="M1203" s="41" t="s">
        <v>1543</v>
      </c>
      <c r="N1203" s="41" t="s">
        <v>3719</v>
      </c>
      <c r="P1203" s="41" t="s">
        <v>1547</v>
      </c>
      <c r="S1203" t="s">
        <v>3321</v>
      </c>
      <c r="T1203" s="15"/>
      <c r="U1203" s="15"/>
      <c r="V1203" s="15"/>
      <c r="W1203" s="15"/>
      <c r="X1203" s="15">
        <v>1</v>
      </c>
      <c r="Y1203" s="15"/>
      <c r="Z1203" s="15"/>
      <c r="AA1203" s="15"/>
      <c r="AB1203" s="15"/>
      <c r="AC1203" s="15"/>
      <c r="AD1203" s="15"/>
      <c r="AE1203" s="15"/>
      <c r="AF1203" s="15"/>
      <c r="AG1203" s="15" t="s">
        <v>3720</v>
      </c>
      <c r="AH1203" t="s">
        <v>359</v>
      </c>
    </row>
    <row r="1204" spans="1:34" ht="15.75">
      <c r="A1204" s="29">
        <f t="shared" si="18"/>
        <v>236</v>
      </c>
      <c r="B1204" s="18">
        <v>865</v>
      </c>
      <c r="C1204" s="15">
        <v>6</v>
      </c>
      <c r="D1204" s="2">
        <v>1817</v>
      </c>
      <c r="E1204">
        <v>4610</v>
      </c>
      <c r="F1204" s="18"/>
      <c r="G1204" s="18"/>
      <c r="H1204" s="18" t="s">
        <v>1541</v>
      </c>
      <c r="I1204" s="18">
        <v>236</v>
      </c>
      <c r="J1204" s="18">
        <v>0</v>
      </c>
      <c r="K1204" s="15" t="s">
        <v>866</v>
      </c>
      <c r="L1204" s="43" t="s">
        <v>2780</v>
      </c>
      <c r="P1204" s="41">
        <v>11</v>
      </c>
      <c r="Q1204" s="41">
        <v>8</v>
      </c>
      <c r="R1204" s="41">
        <v>60</v>
      </c>
      <c r="S1204" t="s">
        <v>3321</v>
      </c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t="s">
        <v>359</v>
      </c>
    </row>
    <row r="1205" spans="1:34" ht="15.75">
      <c r="A1205" s="29">
        <f t="shared" si="18"/>
        <v>5182</v>
      </c>
      <c r="B1205" s="15">
        <v>865</v>
      </c>
      <c r="C1205" s="15">
        <v>6</v>
      </c>
      <c r="D1205" s="2">
        <v>1817</v>
      </c>
      <c r="E1205">
        <v>4612</v>
      </c>
      <c r="F1205" s="15"/>
      <c r="G1205" s="15"/>
      <c r="H1205" s="15" t="s">
        <v>1540</v>
      </c>
      <c r="I1205" s="15">
        <f>2132+3050</f>
        <v>5182</v>
      </c>
      <c r="J1205" s="15">
        <v>0</v>
      </c>
      <c r="K1205" s="15" t="s">
        <v>866</v>
      </c>
      <c r="L1205" s="43" t="s">
        <v>5270</v>
      </c>
      <c r="P1205" s="41">
        <v>19</v>
      </c>
      <c r="Q1205" s="41">
        <v>12</v>
      </c>
      <c r="R1205" s="41">
        <v>70</v>
      </c>
      <c r="S1205" t="s">
        <v>3321</v>
      </c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t="s">
        <v>359</v>
      </c>
    </row>
    <row r="1206" spans="1:34" ht="15.75">
      <c r="A1206" s="29">
        <f t="shared" si="18"/>
        <v>114</v>
      </c>
      <c r="B1206" s="15">
        <v>866</v>
      </c>
      <c r="C1206" s="15">
        <v>6</v>
      </c>
      <c r="D1206" s="2">
        <v>1817</v>
      </c>
      <c r="E1206">
        <v>4663</v>
      </c>
      <c r="F1206" s="15"/>
      <c r="G1206" s="15"/>
      <c r="H1206" s="15" t="s">
        <v>1540</v>
      </c>
      <c r="I1206" s="15">
        <v>114</v>
      </c>
      <c r="J1206" s="15">
        <v>0</v>
      </c>
      <c r="K1206" s="15" t="s">
        <v>866</v>
      </c>
      <c r="L1206" s="43" t="s">
        <v>5271</v>
      </c>
      <c r="P1206" s="41">
        <v>27</v>
      </c>
      <c r="Q1206" s="41">
        <v>3</v>
      </c>
      <c r="R1206" s="41">
        <v>65</v>
      </c>
      <c r="S1206" t="s">
        <v>3321</v>
      </c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t="s">
        <v>359</v>
      </c>
    </row>
    <row r="1207" spans="1:34" ht="15.75">
      <c r="A1207" s="29">
        <f t="shared" si="18"/>
        <v>225</v>
      </c>
      <c r="B1207" s="15">
        <v>866</v>
      </c>
      <c r="C1207" s="15">
        <v>6</v>
      </c>
      <c r="D1207" s="2">
        <v>1817</v>
      </c>
      <c r="E1207">
        <v>4664</v>
      </c>
      <c r="F1207" s="15"/>
      <c r="G1207" s="15"/>
      <c r="H1207" s="15" t="s">
        <v>1540</v>
      </c>
      <c r="I1207" s="15">
        <v>225</v>
      </c>
      <c r="J1207" s="15">
        <v>0</v>
      </c>
      <c r="K1207" s="15" t="s">
        <v>866</v>
      </c>
      <c r="L1207" s="43" t="s">
        <v>5272</v>
      </c>
      <c r="P1207" s="41">
        <v>4</v>
      </c>
      <c r="Q1207" s="41">
        <v>9</v>
      </c>
      <c r="R1207" s="41">
        <v>67</v>
      </c>
      <c r="S1207" t="s">
        <v>3321</v>
      </c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t="s">
        <v>359</v>
      </c>
    </row>
    <row r="1208" spans="1:34" ht="15.75">
      <c r="A1208" s="29">
        <f t="shared" si="18"/>
        <v>1677</v>
      </c>
      <c r="B1208" s="15">
        <v>866</v>
      </c>
      <c r="C1208" s="15">
        <v>6</v>
      </c>
      <c r="D1208" s="2">
        <v>1817</v>
      </c>
      <c r="E1208">
        <v>4665</v>
      </c>
      <c r="F1208" s="15"/>
      <c r="G1208" s="15"/>
      <c r="H1208" s="15" t="s">
        <v>1540</v>
      </c>
      <c r="I1208" s="15">
        <v>1677</v>
      </c>
      <c r="J1208" s="15">
        <v>0</v>
      </c>
      <c r="K1208" s="15" t="s">
        <v>866</v>
      </c>
      <c r="L1208" s="43" t="s">
        <v>5272</v>
      </c>
      <c r="P1208" s="41">
        <v>20</v>
      </c>
      <c r="Q1208" s="41">
        <v>11</v>
      </c>
      <c r="R1208" s="41">
        <v>67</v>
      </c>
      <c r="S1208" t="s">
        <v>3321</v>
      </c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t="s">
        <v>359</v>
      </c>
    </row>
    <row r="1209" spans="1:34" ht="15.75">
      <c r="A1209" s="29">
        <f t="shared" si="18"/>
        <v>4507</v>
      </c>
      <c r="B1209" s="15">
        <v>866</v>
      </c>
      <c r="C1209" s="15">
        <v>6</v>
      </c>
      <c r="D1209" s="2">
        <v>1817</v>
      </c>
      <c r="E1209">
        <v>4666</v>
      </c>
      <c r="F1209" s="15"/>
      <c r="G1209" s="15"/>
      <c r="H1209" s="15" t="s">
        <v>1541</v>
      </c>
      <c r="I1209" s="15">
        <v>4507</v>
      </c>
      <c r="J1209" s="15">
        <v>0</v>
      </c>
      <c r="K1209" s="15" t="s">
        <v>866</v>
      </c>
      <c r="L1209" s="43" t="s">
        <v>5272</v>
      </c>
      <c r="P1209" s="41">
        <v>3</v>
      </c>
      <c r="Q1209" s="41">
        <v>11</v>
      </c>
      <c r="R1209" s="41">
        <v>60</v>
      </c>
      <c r="S1209" t="s">
        <v>3321</v>
      </c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t="s">
        <v>359</v>
      </c>
    </row>
    <row r="1210" spans="1:34" ht="15.75">
      <c r="A1210" s="29">
        <f t="shared" si="18"/>
        <v>76</v>
      </c>
      <c r="B1210" s="15">
        <v>866</v>
      </c>
      <c r="C1210" s="15">
        <v>6</v>
      </c>
      <c r="D1210" s="2">
        <v>1817</v>
      </c>
      <c r="E1210">
        <v>4667</v>
      </c>
      <c r="F1210" s="15"/>
      <c r="G1210" s="15"/>
      <c r="H1210" s="15" t="s">
        <v>1541</v>
      </c>
      <c r="I1210" s="15">
        <v>76</v>
      </c>
      <c r="J1210" s="15">
        <v>0</v>
      </c>
      <c r="K1210" s="15" t="s">
        <v>866</v>
      </c>
      <c r="L1210" s="43" t="s">
        <v>5273</v>
      </c>
      <c r="P1210" s="41">
        <v>29</v>
      </c>
      <c r="Q1210" s="41">
        <v>8</v>
      </c>
      <c r="R1210" s="41">
        <v>63</v>
      </c>
      <c r="S1210" t="s">
        <v>3321</v>
      </c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t="s">
        <v>359</v>
      </c>
    </row>
    <row r="1211" spans="1:34" ht="15.75">
      <c r="A1211" s="29">
        <f t="shared" si="18"/>
        <v>1013</v>
      </c>
      <c r="B1211" s="15">
        <v>866</v>
      </c>
      <c r="C1211" s="15">
        <v>6</v>
      </c>
      <c r="D1211" s="2">
        <v>1817</v>
      </c>
      <c r="E1211">
        <v>4669</v>
      </c>
      <c r="F1211" s="15"/>
      <c r="G1211" s="15"/>
      <c r="H1211" s="15" t="s">
        <v>1540</v>
      </c>
      <c r="I1211" s="15">
        <v>1013</v>
      </c>
      <c r="J1211" s="15">
        <v>0</v>
      </c>
      <c r="K1211" s="15" t="s">
        <v>866</v>
      </c>
      <c r="L1211" s="43" t="s">
        <v>5276</v>
      </c>
      <c r="P1211" s="41">
        <v>2</v>
      </c>
      <c r="Q1211" s="41">
        <v>12</v>
      </c>
      <c r="R1211" s="41" t="s">
        <v>868</v>
      </c>
      <c r="S1211" t="s">
        <v>1547</v>
      </c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t="s">
        <v>359</v>
      </c>
    </row>
    <row r="1212" spans="1:34" ht="15.75">
      <c r="A1212" s="29">
        <f t="shared" si="18"/>
        <v>184</v>
      </c>
      <c r="B1212" s="15">
        <v>867</v>
      </c>
      <c r="C1212" s="15">
        <v>6</v>
      </c>
      <c r="D1212" s="2">
        <v>1817</v>
      </c>
      <c r="E1212">
        <v>4718</v>
      </c>
      <c r="F1212" s="15"/>
      <c r="G1212" s="15"/>
      <c r="H1212" s="15" t="s">
        <v>1541</v>
      </c>
      <c r="I1212" s="15">
        <v>184</v>
      </c>
      <c r="J1212" s="15">
        <v>0</v>
      </c>
      <c r="K1212" s="15" t="s">
        <v>866</v>
      </c>
      <c r="L1212" s="43" t="s">
        <v>5281</v>
      </c>
      <c r="P1212" s="41">
        <v>18</v>
      </c>
      <c r="Q1212" s="41">
        <v>12</v>
      </c>
      <c r="R1212" s="41">
        <v>46</v>
      </c>
      <c r="S1212" t="s">
        <v>3321</v>
      </c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t="s">
        <v>359</v>
      </c>
    </row>
    <row r="1213" spans="1:34" ht="15.75">
      <c r="A1213" s="29">
        <f t="shared" si="18"/>
        <v>150000</v>
      </c>
      <c r="B1213" s="18">
        <v>867</v>
      </c>
      <c r="C1213" s="15">
        <v>6</v>
      </c>
      <c r="D1213" s="2">
        <v>1817</v>
      </c>
      <c r="E1213">
        <v>4719</v>
      </c>
      <c r="F1213" s="18"/>
      <c r="G1213" s="18"/>
      <c r="H1213" s="18" t="s">
        <v>1541</v>
      </c>
      <c r="I1213" s="18">
        <v>150000</v>
      </c>
      <c r="J1213" s="18">
        <v>0</v>
      </c>
      <c r="K1213" s="15" t="s">
        <v>866</v>
      </c>
      <c r="L1213" s="43" t="s">
        <v>3724</v>
      </c>
      <c r="M1213" s="41" t="s">
        <v>3725</v>
      </c>
      <c r="O1213" s="41" t="s">
        <v>3726</v>
      </c>
      <c r="P1213" s="41">
        <v>23</v>
      </c>
      <c r="Q1213" s="41">
        <v>11</v>
      </c>
      <c r="R1213" s="41">
        <v>22</v>
      </c>
      <c r="S1213" s="15" t="s">
        <v>3727</v>
      </c>
      <c r="T1213" s="15" t="s">
        <v>3728</v>
      </c>
      <c r="U1213" s="15"/>
      <c r="V1213" s="15" t="s">
        <v>3729</v>
      </c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t="s">
        <v>359</v>
      </c>
    </row>
    <row r="1214" spans="1:34" ht="15.75">
      <c r="A1214" s="29">
        <f t="shared" si="18"/>
        <v>12000</v>
      </c>
      <c r="B1214" s="18">
        <v>867</v>
      </c>
      <c r="C1214" s="15">
        <v>6</v>
      </c>
      <c r="D1214" s="2">
        <v>1817</v>
      </c>
      <c r="E1214">
        <v>4720</v>
      </c>
      <c r="F1214" s="18"/>
      <c r="G1214" s="18"/>
      <c r="H1214" s="18" t="s">
        <v>1541</v>
      </c>
      <c r="I1214" s="18">
        <v>0</v>
      </c>
      <c r="J1214" s="18">
        <v>600</v>
      </c>
      <c r="K1214" s="15" t="s">
        <v>866</v>
      </c>
      <c r="L1214" s="43" t="s">
        <v>5287</v>
      </c>
      <c r="P1214" s="41">
        <v>6</v>
      </c>
      <c r="Q1214" s="41">
        <v>12</v>
      </c>
      <c r="R1214" s="41" t="s">
        <v>868</v>
      </c>
      <c r="S1214" t="s">
        <v>3321</v>
      </c>
      <c r="T1214" s="15"/>
      <c r="U1214" s="15"/>
      <c r="V1214" s="15"/>
      <c r="W1214" s="15"/>
      <c r="X1214" s="15">
        <v>1</v>
      </c>
      <c r="Y1214" s="15" t="s">
        <v>3730</v>
      </c>
      <c r="Z1214" s="15"/>
      <c r="AA1214" s="15"/>
      <c r="AB1214" s="15"/>
      <c r="AC1214" s="15"/>
      <c r="AD1214" s="15"/>
      <c r="AE1214" s="15"/>
      <c r="AF1214" s="15"/>
      <c r="AG1214" s="15"/>
      <c r="AH1214" t="s">
        <v>359</v>
      </c>
    </row>
    <row r="1215" spans="1:34" ht="15.75">
      <c r="A1215" s="29">
        <f t="shared" si="18"/>
        <v>360</v>
      </c>
      <c r="B1215" s="15">
        <v>867</v>
      </c>
      <c r="C1215" s="15">
        <v>6</v>
      </c>
      <c r="D1215" s="2">
        <v>1817</v>
      </c>
      <c r="E1215">
        <v>4721</v>
      </c>
      <c r="F1215" s="15"/>
      <c r="G1215" s="15"/>
      <c r="H1215" s="15" t="s">
        <v>1540</v>
      </c>
      <c r="I1215" s="15">
        <v>360</v>
      </c>
      <c r="J1215" s="15">
        <v>0</v>
      </c>
      <c r="K1215" s="15" t="s">
        <v>866</v>
      </c>
      <c r="L1215" s="43" t="s">
        <v>5291</v>
      </c>
      <c r="P1215" s="41">
        <v>19</v>
      </c>
      <c r="Q1215" s="41">
        <v>11</v>
      </c>
      <c r="R1215" s="41">
        <v>44</v>
      </c>
      <c r="S1215" t="s">
        <v>3321</v>
      </c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t="s">
        <v>359</v>
      </c>
    </row>
    <row r="1216" spans="1:34" ht="15.75">
      <c r="A1216" s="29">
        <f t="shared" si="18"/>
        <v>26094</v>
      </c>
      <c r="B1216" s="15">
        <v>867</v>
      </c>
      <c r="C1216" s="15">
        <v>6</v>
      </c>
      <c r="D1216" s="2">
        <v>1817</v>
      </c>
      <c r="E1216">
        <v>4722</v>
      </c>
      <c r="F1216" s="15"/>
      <c r="G1216" s="15"/>
      <c r="H1216" s="15" t="s">
        <v>1549</v>
      </c>
      <c r="I1216" s="15">
        <v>9094</v>
      </c>
      <c r="J1216" s="15">
        <v>1700</v>
      </c>
      <c r="K1216" s="15" t="s">
        <v>866</v>
      </c>
      <c r="L1216" s="43" t="s">
        <v>3731</v>
      </c>
      <c r="M1216" s="41" t="s">
        <v>1697</v>
      </c>
      <c r="O1216" s="41" t="s">
        <v>3732</v>
      </c>
      <c r="P1216" s="41">
        <v>19</v>
      </c>
      <c r="Q1216" s="41">
        <v>11</v>
      </c>
      <c r="R1216" s="41">
        <v>60</v>
      </c>
      <c r="S1216" t="s">
        <v>3321</v>
      </c>
      <c r="T1216" s="15" t="s">
        <v>3329</v>
      </c>
      <c r="U1216" s="15"/>
      <c r="V1216" s="15" t="s">
        <v>3733</v>
      </c>
      <c r="W1216" s="15"/>
      <c r="X1216" s="15">
        <v>0.5</v>
      </c>
      <c r="Y1216" s="15" t="s">
        <v>3732</v>
      </c>
      <c r="Z1216" s="15"/>
      <c r="AA1216" s="15" t="s">
        <v>3734</v>
      </c>
      <c r="AB1216" s="15"/>
      <c r="AC1216" s="15"/>
      <c r="AD1216" s="15"/>
      <c r="AE1216" s="15"/>
      <c r="AF1216" s="15"/>
      <c r="AG1216" s="15"/>
      <c r="AH1216" t="s">
        <v>359</v>
      </c>
    </row>
    <row r="1217" spans="1:34" ht="15.75">
      <c r="A1217" s="29">
        <f t="shared" si="18"/>
        <v>40</v>
      </c>
      <c r="B1217" s="15">
        <v>868</v>
      </c>
      <c r="C1217" s="15">
        <v>6</v>
      </c>
      <c r="D1217" s="2">
        <v>1817</v>
      </c>
      <c r="E1217">
        <v>4758</v>
      </c>
      <c r="F1217" s="15"/>
      <c r="G1217" s="15"/>
      <c r="H1217" s="15" t="s">
        <v>1540</v>
      </c>
      <c r="I1217" s="15">
        <v>40</v>
      </c>
      <c r="J1217" s="15">
        <v>0</v>
      </c>
      <c r="K1217" s="15" t="s">
        <v>866</v>
      </c>
      <c r="L1217" s="43" t="s">
        <v>3735</v>
      </c>
      <c r="P1217" s="41">
        <v>12</v>
      </c>
      <c r="Q1217" s="41">
        <v>5</v>
      </c>
      <c r="R1217" s="41">
        <v>60</v>
      </c>
      <c r="S1217" t="s">
        <v>3321</v>
      </c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t="s">
        <v>359</v>
      </c>
    </row>
    <row r="1218" spans="1:34" ht="15">
      <c r="A1218" s="29">
        <f aca="true" t="shared" si="19" ref="A1218:A1281">I1218+J1218*20*X1218</f>
        <v>2825</v>
      </c>
      <c r="B1218" s="15">
        <v>868</v>
      </c>
      <c r="C1218" s="15">
        <v>6</v>
      </c>
      <c r="D1218" s="15">
        <v>1817</v>
      </c>
      <c r="E1218">
        <v>4759</v>
      </c>
      <c r="F1218" s="15"/>
      <c r="G1218" s="15"/>
      <c r="H1218" s="15" t="s">
        <v>1541</v>
      </c>
      <c r="I1218" s="15">
        <v>2825</v>
      </c>
      <c r="J1218" s="15">
        <v>0</v>
      </c>
      <c r="K1218" s="15" t="s">
        <v>867</v>
      </c>
      <c r="L1218" s="43" t="s">
        <v>5296</v>
      </c>
      <c r="P1218" s="41">
        <v>21</v>
      </c>
      <c r="Q1218" s="41">
        <v>10</v>
      </c>
      <c r="R1218" s="41" t="s">
        <v>868</v>
      </c>
      <c r="S1218" t="s">
        <v>1547</v>
      </c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t="s">
        <v>359</v>
      </c>
    </row>
    <row r="1219" spans="1:34" ht="15.75">
      <c r="A1219" s="29">
        <f t="shared" si="19"/>
        <v>221</v>
      </c>
      <c r="B1219" s="18">
        <v>868</v>
      </c>
      <c r="C1219" s="15">
        <v>6</v>
      </c>
      <c r="D1219" s="2">
        <v>1817</v>
      </c>
      <c r="E1219">
        <v>4761</v>
      </c>
      <c r="F1219" s="18"/>
      <c r="G1219" s="18"/>
      <c r="H1219" s="18" t="s">
        <v>1541</v>
      </c>
      <c r="I1219" s="18">
        <v>221</v>
      </c>
      <c r="J1219" s="18">
        <v>0</v>
      </c>
      <c r="K1219" s="15" t="s">
        <v>867</v>
      </c>
      <c r="L1219" s="43" t="s">
        <v>2895</v>
      </c>
      <c r="P1219" s="41">
        <v>23</v>
      </c>
      <c r="Q1219" s="41">
        <v>9</v>
      </c>
      <c r="R1219" s="41">
        <v>23</v>
      </c>
      <c r="S1219" t="s">
        <v>3321</v>
      </c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t="s">
        <v>359</v>
      </c>
    </row>
    <row r="1220" spans="1:34" ht="15.75">
      <c r="A1220" s="29">
        <f t="shared" si="19"/>
        <v>1670</v>
      </c>
      <c r="B1220" s="15">
        <v>868</v>
      </c>
      <c r="C1220" s="15">
        <v>6</v>
      </c>
      <c r="D1220" s="2">
        <v>1817</v>
      </c>
      <c r="E1220">
        <v>4763</v>
      </c>
      <c r="F1220" s="15"/>
      <c r="G1220" s="15"/>
      <c r="H1220" s="18" t="s">
        <v>850</v>
      </c>
      <c r="I1220" s="15">
        <v>1670</v>
      </c>
      <c r="J1220" s="15">
        <v>0</v>
      </c>
      <c r="K1220" s="15" t="s">
        <v>867</v>
      </c>
      <c r="L1220" s="43" t="s">
        <v>2898</v>
      </c>
      <c r="P1220" s="41">
        <v>4</v>
      </c>
      <c r="Q1220" s="41">
        <v>8</v>
      </c>
      <c r="R1220" s="41">
        <v>85</v>
      </c>
      <c r="S1220" s="15" t="s">
        <v>1547</v>
      </c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t="s">
        <v>359</v>
      </c>
    </row>
    <row r="1221" spans="1:34" ht="15.75">
      <c r="A1221" s="29">
        <f t="shared" si="19"/>
        <v>1199</v>
      </c>
      <c r="B1221" s="15">
        <v>869</v>
      </c>
      <c r="C1221" s="15">
        <v>6</v>
      </c>
      <c r="D1221" s="2">
        <v>1817</v>
      </c>
      <c r="E1221">
        <v>4792</v>
      </c>
      <c r="F1221" s="15"/>
      <c r="G1221" s="15"/>
      <c r="H1221" s="15" t="s">
        <v>1540</v>
      </c>
      <c r="I1221" s="15">
        <v>1199</v>
      </c>
      <c r="J1221" s="15">
        <v>0</v>
      </c>
      <c r="K1221" s="15" t="s">
        <v>867</v>
      </c>
      <c r="L1221" s="43" t="s">
        <v>2899</v>
      </c>
      <c r="P1221" s="41">
        <v>2</v>
      </c>
      <c r="Q1221" s="41">
        <v>7</v>
      </c>
      <c r="R1221" s="41">
        <v>57</v>
      </c>
      <c r="S1221" t="s">
        <v>3321</v>
      </c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t="s">
        <v>359</v>
      </c>
    </row>
    <row r="1222" spans="1:34" ht="15.75">
      <c r="A1222" s="29">
        <f t="shared" si="19"/>
        <v>170</v>
      </c>
      <c r="B1222" s="15">
        <v>869</v>
      </c>
      <c r="C1222" s="15">
        <v>6</v>
      </c>
      <c r="D1222" s="2">
        <v>1817</v>
      </c>
      <c r="E1222">
        <v>4793</v>
      </c>
      <c r="F1222" s="15"/>
      <c r="G1222" s="15"/>
      <c r="H1222" s="15" t="s">
        <v>1541</v>
      </c>
      <c r="I1222" s="15">
        <v>170</v>
      </c>
      <c r="J1222" s="15">
        <v>0</v>
      </c>
      <c r="K1222" s="15" t="s">
        <v>867</v>
      </c>
      <c r="L1222" s="43" t="s">
        <v>2899</v>
      </c>
      <c r="P1222" s="41">
        <v>15</v>
      </c>
      <c r="Q1222" s="41">
        <v>8</v>
      </c>
      <c r="R1222" s="41">
        <v>32</v>
      </c>
      <c r="S1222" t="s">
        <v>3321</v>
      </c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t="s">
        <v>359</v>
      </c>
    </row>
    <row r="1223" spans="1:34" ht="15.75">
      <c r="A1223" s="39">
        <f t="shared" si="19"/>
        <v>4404</v>
      </c>
      <c r="B1223" s="15">
        <v>869</v>
      </c>
      <c r="C1223" s="15">
        <v>6</v>
      </c>
      <c r="D1223" s="2">
        <v>1817</v>
      </c>
      <c r="E1223">
        <v>4794</v>
      </c>
      <c r="F1223" s="15"/>
      <c r="G1223" s="15"/>
      <c r="H1223" s="15" t="s">
        <v>1540</v>
      </c>
      <c r="I1223" s="15">
        <v>4404</v>
      </c>
      <c r="J1223" s="15">
        <v>0</v>
      </c>
      <c r="K1223" s="15" t="s">
        <v>867</v>
      </c>
      <c r="L1223" s="43" t="s">
        <v>3609</v>
      </c>
      <c r="P1223" s="41">
        <v>1</v>
      </c>
      <c r="Q1223" s="41">
        <v>11</v>
      </c>
      <c r="R1223" s="41" t="s">
        <v>868</v>
      </c>
      <c r="S1223" t="s">
        <v>1547</v>
      </c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t="s">
        <v>359</v>
      </c>
    </row>
    <row r="1224" spans="1:34" ht="15.75">
      <c r="A1224" s="39">
        <f t="shared" si="19"/>
        <v>1362</v>
      </c>
      <c r="B1224" s="15">
        <v>869</v>
      </c>
      <c r="C1224" s="15">
        <v>6</v>
      </c>
      <c r="D1224" s="2">
        <v>1817</v>
      </c>
      <c r="E1224">
        <v>4795</v>
      </c>
      <c r="F1224" s="15"/>
      <c r="G1224" s="15"/>
      <c r="H1224" s="15" t="s">
        <v>1541</v>
      </c>
      <c r="I1224" s="15">
        <v>1362</v>
      </c>
      <c r="J1224" s="15">
        <v>0</v>
      </c>
      <c r="K1224" s="15" t="s">
        <v>867</v>
      </c>
      <c r="L1224" s="43" t="s">
        <v>3361</v>
      </c>
      <c r="P1224" s="41">
        <v>28</v>
      </c>
      <c r="Q1224" s="41">
        <v>3</v>
      </c>
      <c r="R1224" s="41">
        <v>68</v>
      </c>
      <c r="S1224" s="15" t="s">
        <v>3329</v>
      </c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t="s">
        <v>359</v>
      </c>
    </row>
    <row r="1225" spans="1:34" ht="15.75">
      <c r="A1225" s="29">
        <f t="shared" si="19"/>
        <v>4600</v>
      </c>
      <c r="B1225" s="15">
        <v>869</v>
      </c>
      <c r="C1225" s="15">
        <v>6</v>
      </c>
      <c r="D1225" s="2">
        <v>1817</v>
      </c>
      <c r="E1225">
        <v>4796</v>
      </c>
      <c r="F1225" s="15"/>
      <c r="G1225" s="15"/>
      <c r="H1225" s="15" t="s">
        <v>1540</v>
      </c>
      <c r="I1225" s="15">
        <v>4600</v>
      </c>
      <c r="J1225" s="15">
        <v>0</v>
      </c>
      <c r="K1225" s="15" t="s">
        <v>867</v>
      </c>
      <c r="L1225" s="43" t="s">
        <v>3613</v>
      </c>
      <c r="P1225" s="41">
        <v>10</v>
      </c>
      <c r="Q1225" s="41">
        <v>12</v>
      </c>
      <c r="R1225" s="41">
        <v>57</v>
      </c>
      <c r="S1225" t="s">
        <v>3321</v>
      </c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t="s">
        <v>359</v>
      </c>
    </row>
    <row r="1226" spans="1:34" ht="15.75">
      <c r="A1226" s="29">
        <f t="shared" si="19"/>
        <v>8872</v>
      </c>
      <c r="B1226" s="18">
        <v>869</v>
      </c>
      <c r="C1226" s="15">
        <v>6</v>
      </c>
      <c r="D1226" s="2">
        <v>1817</v>
      </c>
      <c r="E1226">
        <v>4797</v>
      </c>
      <c r="F1226" s="18"/>
      <c r="G1226" s="18"/>
      <c r="H1226" s="18" t="s">
        <v>1540</v>
      </c>
      <c r="I1226" s="18">
        <v>2872</v>
      </c>
      <c r="J1226" s="18">
        <v>300</v>
      </c>
      <c r="K1226" s="15" t="s">
        <v>867</v>
      </c>
      <c r="L1226" s="43" t="s">
        <v>3613</v>
      </c>
      <c r="P1226" s="41">
        <v>19</v>
      </c>
      <c r="Q1226" s="41">
        <v>11</v>
      </c>
      <c r="R1226" s="41" t="s">
        <v>868</v>
      </c>
      <c r="S1226" t="s">
        <v>3321</v>
      </c>
      <c r="T1226" s="15"/>
      <c r="U1226" s="15"/>
      <c r="V1226" s="15"/>
      <c r="W1226" s="15"/>
      <c r="X1226" s="15">
        <v>1</v>
      </c>
      <c r="Y1226" s="15" t="s">
        <v>3742</v>
      </c>
      <c r="Z1226" s="15"/>
      <c r="AA1226" s="15"/>
      <c r="AB1226" s="15"/>
      <c r="AC1226" s="15"/>
      <c r="AD1226" s="15"/>
      <c r="AE1226" s="15"/>
      <c r="AF1226" s="15"/>
      <c r="AG1226" s="15"/>
      <c r="AH1226" t="s">
        <v>359</v>
      </c>
    </row>
    <row r="1227" spans="1:34" ht="15.75">
      <c r="A1227" s="29">
        <f t="shared" si="19"/>
        <v>190</v>
      </c>
      <c r="B1227" s="18">
        <v>869</v>
      </c>
      <c r="C1227" s="15">
        <v>6</v>
      </c>
      <c r="D1227" s="2">
        <v>1817</v>
      </c>
      <c r="E1227">
        <v>4798</v>
      </c>
      <c r="F1227" s="18"/>
      <c r="G1227" s="18"/>
      <c r="H1227" s="18" t="s">
        <v>1541</v>
      </c>
      <c r="I1227" s="18">
        <v>190</v>
      </c>
      <c r="J1227" s="18">
        <v>0</v>
      </c>
      <c r="K1227" s="15" t="s">
        <v>867</v>
      </c>
      <c r="L1227" s="43" t="s">
        <v>3743</v>
      </c>
      <c r="P1227" s="41">
        <v>7</v>
      </c>
      <c r="Q1227" s="41">
        <v>5</v>
      </c>
      <c r="R1227" s="41">
        <v>30</v>
      </c>
      <c r="S1227" t="s">
        <v>3321</v>
      </c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t="s">
        <v>359</v>
      </c>
    </row>
    <row r="1228" spans="1:34" ht="15.75">
      <c r="A1228" s="29">
        <f t="shared" si="19"/>
        <v>137</v>
      </c>
      <c r="B1228" s="18">
        <v>869</v>
      </c>
      <c r="C1228" s="15">
        <v>6</v>
      </c>
      <c r="D1228" s="2">
        <v>1817</v>
      </c>
      <c r="E1228">
        <v>4799</v>
      </c>
      <c r="F1228" s="18"/>
      <c r="G1228" s="18"/>
      <c r="H1228" s="18" t="s">
        <v>1540</v>
      </c>
      <c r="I1228" s="18">
        <v>137</v>
      </c>
      <c r="J1228" s="18">
        <v>0</v>
      </c>
      <c r="K1228" s="15" t="s">
        <v>867</v>
      </c>
      <c r="L1228" s="43" t="s">
        <v>3743</v>
      </c>
      <c r="P1228" s="41">
        <v>19</v>
      </c>
      <c r="Q1228" s="41">
        <v>10</v>
      </c>
      <c r="R1228" s="41" t="s">
        <v>868</v>
      </c>
      <c r="S1228" t="s">
        <v>1547</v>
      </c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t="s">
        <v>359</v>
      </c>
    </row>
    <row r="1229" spans="1:34" ht="15.75">
      <c r="A1229" s="29">
        <f t="shared" si="19"/>
        <v>60691</v>
      </c>
      <c r="B1229" s="18">
        <v>869</v>
      </c>
      <c r="C1229" s="15">
        <v>6</v>
      </c>
      <c r="D1229" s="2">
        <v>1817</v>
      </c>
      <c r="E1229">
        <v>4800</v>
      </c>
      <c r="F1229" s="18"/>
      <c r="G1229" s="18"/>
      <c r="H1229" s="18" t="s">
        <v>1540</v>
      </c>
      <c r="I1229" s="18">
        <v>691</v>
      </c>
      <c r="J1229" s="18">
        <v>3000</v>
      </c>
      <c r="K1229" s="15" t="s">
        <v>867</v>
      </c>
      <c r="L1229" s="43" t="s">
        <v>1554</v>
      </c>
      <c r="M1229" s="41" t="s">
        <v>5316</v>
      </c>
      <c r="N1229" s="41" t="s">
        <v>3744</v>
      </c>
      <c r="O1229" s="41" t="s">
        <v>3745</v>
      </c>
      <c r="P1229" s="41">
        <v>18</v>
      </c>
      <c r="Q1229" s="41">
        <v>11</v>
      </c>
      <c r="R1229" s="41">
        <v>54</v>
      </c>
      <c r="S1229" s="15" t="s">
        <v>3746</v>
      </c>
      <c r="T1229" s="15" t="s">
        <v>3154</v>
      </c>
      <c r="U1229" s="15"/>
      <c r="V1229" s="15" t="s">
        <v>2439</v>
      </c>
      <c r="W1229" s="15"/>
      <c r="X1229" s="15">
        <v>1</v>
      </c>
      <c r="Y1229" s="15" t="s">
        <v>3747</v>
      </c>
      <c r="Z1229" s="15"/>
      <c r="AA1229" s="15"/>
      <c r="AB1229" s="15"/>
      <c r="AC1229" s="15"/>
      <c r="AD1229" s="15"/>
      <c r="AE1229" s="15"/>
      <c r="AF1229" s="15"/>
      <c r="AG1229" s="15"/>
      <c r="AH1229" t="s">
        <v>359</v>
      </c>
    </row>
    <row r="1230" spans="1:34" ht="15.75">
      <c r="A1230" s="29">
        <f t="shared" si="19"/>
        <v>72</v>
      </c>
      <c r="B1230" s="15">
        <v>869</v>
      </c>
      <c r="C1230" s="15">
        <v>6</v>
      </c>
      <c r="D1230" s="2">
        <v>1817</v>
      </c>
      <c r="E1230">
        <v>4801</v>
      </c>
      <c r="F1230" s="15"/>
      <c r="G1230" s="15"/>
      <c r="H1230" s="15" t="s">
        <v>1541</v>
      </c>
      <c r="I1230" s="15">
        <v>72</v>
      </c>
      <c r="J1230" s="15">
        <v>0</v>
      </c>
      <c r="K1230" s="15" t="s">
        <v>867</v>
      </c>
      <c r="L1230" s="43" t="s">
        <v>3748</v>
      </c>
      <c r="P1230" s="41">
        <v>17</v>
      </c>
      <c r="Q1230" s="41">
        <v>6</v>
      </c>
      <c r="R1230" s="41">
        <v>65</v>
      </c>
      <c r="S1230" s="15" t="s">
        <v>1547</v>
      </c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t="s">
        <v>359</v>
      </c>
    </row>
    <row r="1231" spans="1:34" ht="15">
      <c r="A1231" s="29">
        <f t="shared" si="19"/>
        <v>80</v>
      </c>
      <c r="B1231" s="15">
        <v>870</v>
      </c>
      <c r="C1231" s="15">
        <v>6</v>
      </c>
      <c r="D1231" s="15">
        <v>1817</v>
      </c>
      <c r="E1231">
        <v>4842</v>
      </c>
      <c r="F1231" s="15"/>
      <c r="G1231" s="15"/>
      <c r="H1231" s="15" t="s">
        <v>4655</v>
      </c>
      <c r="I1231" s="15">
        <v>80</v>
      </c>
      <c r="J1231" s="15">
        <v>0</v>
      </c>
      <c r="K1231" s="15" t="s">
        <v>867</v>
      </c>
      <c r="L1231" s="43" t="s">
        <v>3749</v>
      </c>
      <c r="P1231" s="41">
        <v>20</v>
      </c>
      <c r="Q1231" s="41">
        <v>3</v>
      </c>
      <c r="R1231" s="41">
        <v>79</v>
      </c>
      <c r="S1231" t="s">
        <v>3321</v>
      </c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t="s">
        <v>359</v>
      </c>
    </row>
    <row r="1232" spans="1:34" ht="15">
      <c r="A1232" s="29">
        <f t="shared" si="19"/>
        <v>2582</v>
      </c>
      <c r="B1232" s="18">
        <v>870</v>
      </c>
      <c r="C1232" s="15">
        <v>6</v>
      </c>
      <c r="D1232" s="18">
        <v>1817</v>
      </c>
      <c r="E1232">
        <v>4843</v>
      </c>
      <c r="F1232" s="18"/>
      <c r="G1232" s="18"/>
      <c r="H1232" s="18" t="s">
        <v>4655</v>
      </c>
      <c r="I1232" s="18">
        <v>2582</v>
      </c>
      <c r="J1232" s="18">
        <v>0</v>
      </c>
      <c r="K1232" s="15" t="s">
        <v>867</v>
      </c>
      <c r="L1232" s="43" t="s">
        <v>3750</v>
      </c>
      <c r="M1232" s="43" t="s">
        <v>999</v>
      </c>
      <c r="N1232" s="43"/>
      <c r="O1232" s="43" t="s">
        <v>999</v>
      </c>
      <c r="P1232" s="43">
        <v>30</v>
      </c>
      <c r="Q1232" s="43">
        <v>11</v>
      </c>
      <c r="R1232" s="43">
        <v>48</v>
      </c>
      <c r="S1232" t="s">
        <v>3321</v>
      </c>
      <c r="T1232" s="18" t="s">
        <v>999</v>
      </c>
      <c r="U1232" s="18"/>
      <c r="V1232" s="18" t="s">
        <v>999</v>
      </c>
      <c r="W1232" s="18"/>
      <c r="X1232" s="18"/>
      <c r="Y1232" s="18"/>
      <c r="Z1232" s="18"/>
      <c r="AA1232" s="15" t="s">
        <v>3751</v>
      </c>
      <c r="AB1232" s="15"/>
      <c r="AC1232" s="15"/>
      <c r="AD1232" s="15"/>
      <c r="AE1232" s="15"/>
      <c r="AF1232" s="15"/>
      <c r="AG1232" s="15"/>
      <c r="AH1232" t="s">
        <v>359</v>
      </c>
    </row>
    <row r="1233" spans="1:34" ht="15">
      <c r="A1233" s="29">
        <f t="shared" si="19"/>
        <v>18000</v>
      </c>
      <c r="B1233" s="18">
        <v>870</v>
      </c>
      <c r="C1233" s="15">
        <v>6</v>
      </c>
      <c r="D1233" s="18">
        <v>1817</v>
      </c>
      <c r="E1233">
        <v>4844</v>
      </c>
      <c r="F1233" s="18"/>
      <c r="G1233" s="18"/>
      <c r="H1233" s="18" t="s">
        <v>1540</v>
      </c>
      <c r="I1233" s="18">
        <v>0</v>
      </c>
      <c r="J1233" s="18">
        <v>900</v>
      </c>
      <c r="K1233" s="15" t="s">
        <v>867</v>
      </c>
      <c r="L1233" s="43" t="s">
        <v>3736</v>
      </c>
      <c r="M1233" s="41" t="s">
        <v>5316</v>
      </c>
      <c r="N1233" s="41" t="s">
        <v>1551</v>
      </c>
      <c r="O1233" s="41" t="s">
        <v>3737</v>
      </c>
      <c r="P1233" s="41">
        <v>1</v>
      </c>
      <c r="Q1233" s="41">
        <v>8</v>
      </c>
      <c r="S1233" s="15" t="s">
        <v>1266</v>
      </c>
      <c r="T1233" s="15" t="s">
        <v>4646</v>
      </c>
      <c r="U1233" s="15" t="s">
        <v>3738</v>
      </c>
      <c r="V1233" s="15" t="s">
        <v>3740</v>
      </c>
      <c r="W1233" s="15"/>
      <c r="X1233" s="18">
        <v>1</v>
      </c>
      <c r="Y1233" s="18" t="s">
        <v>3752</v>
      </c>
      <c r="Z1233" s="18"/>
      <c r="AA1233" s="15"/>
      <c r="AB1233" s="15"/>
      <c r="AC1233" s="15"/>
      <c r="AD1233" s="15"/>
      <c r="AE1233" s="15"/>
      <c r="AF1233" s="15"/>
      <c r="AG1233" s="15"/>
      <c r="AH1233" t="s">
        <v>359</v>
      </c>
    </row>
    <row r="1234" spans="1:34" ht="15.75">
      <c r="A1234" s="29">
        <f t="shared" si="19"/>
        <v>393</v>
      </c>
      <c r="B1234" s="18">
        <v>872</v>
      </c>
      <c r="C1234" s="15">
        <v>6</v>
      </c>
      <c r="D1234" s="2">
        <v>1817</v>
      </c>
      <c r="E1234">
        <v>4934</v>
      </c>
      <c r="F1234" s="18"/>
      <c r="G1234" s="18"/>
      <c r="H1234" s="18" t="s">
        <v>1540</v>
      </c>
      <c r="I1234" s="18">
        <v>393</v>
      </c>
      <c r="J1234" s="18">
        <v>0</v>
      </c>
      <c r="K1234" s="15" t="s">
        <v>867</v>
      </c>
      <c r="L1234" s="43" t="s">
        <v>3757</v>
      </c>
      <c r="P1234" s="41">
        <v>2</v>
      </c>
      <c r="Q1234" s="41">
        <v>7</v>
      </c>
      <c r="R1234" s="41">
        <v>51</v>
      </c>
      <c r="S1234" t="s">
        <v>3321</v>
      </c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t="s">
        <v>359</v>
      </c>
    </row>
    <row r="1235" spans="1:34" ht="15.75">
      <c r="A1235" s="29">
        <f t="shared" si="19"/>
        <v>37</v>
      </c>
      <c r="B1235" s="18">
        <v>872</v>
      </c>
      <c r="C1235" s="15">
        <v>6</v>
      </c>
      <c r="D1235" s="2">
        <v>1817</v>
      </c>
      <c r="E1235">
        <v>4935</v>
      </c>
      <c r="F1235" s="18"/>
      <c r="G1235" s="18"/>
      <c r="H1235" s="18" t="s">
        <v>1541</v>
      </c>
      <c r="I1235" s="18">
        <v>37</v>
      </c>
      <c r="J1235" s="18">
        <v>0</v>
      </c>
      <c r="K1235" s="15" t="s">
        <v>867</v>
      </c>
      <c r="L1235" s="43" t="s">
        <v>3757</v>
      </c>
      <c r="P1235" s="41">
        <v>3</v>
      </c>
      <c r="Q1235" s="41">
        <v>9</v>
      </c>
      <c r="R1235" s="41">
        <v>61</v>
      </c>
      <c r="S1235" t="s">
        <v>3321</v>
      </c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t="s">
        <v>359</v>
      </c>
    </row>
    <row r="1236" spans="1:34" ht="15.75">
      <c r="A1236" s="29">
        <f t="shared" si="19"/>
        <v>27125</v>
      </c>
      <c r="B1236" s="18">
        <v>872</v>
      </c>
      <c r="C1236" s="15">
        <v>6</v>
      </c>
      <c r="D1236" s="2">
        <v>1817</v>
      </c>
      <c r="E1236">
        <v>4936</v>
      </c>
      <c r="F1236" s="18"/>
      <c r="G1236" s="18"/>
      <c r="H1236" s="18" t="s">
        <v>850</v>
      </c>
      <c r="I1236" s="18">
        <v>27125</v>
      </c>
      <c r="J1236" s="18">
        <v>0</v>
      </c>
      <c r="K1236" s="15" t="s">
        <v>867</v>
      </c>
      <c r="L1236" s="43" t="s">
        <v>3758</v>
      </c>
      <c r="M1236" s="41" t="s">
        <v>1367</v>
      </c>
      <c r="O1236" s="41" t="s">
        <v>3759</v>
      </c>
      <c r="P1236" s="41">
        <v>2</v>
      </c>
      <c r="Q1236" s="41">
        <v>8</v>
      </c>
      <c r="R1236" s="41">
        <v>24</v>
      </c>
      <c r="S1236" t="s">
        <v>3321</v>
      </c>
      <c r="T1236" s="15" t="s">
        <v>1352</v>
      </c>
      <c r="U1236" s="15"/>
      <c r="V1236" s="15" t="s">
        <v>3760</v>
      </c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t="s">
        <v>359</v>
      </c>
    </row>
    <row r="1237" spans="1:34" ht="15.75">
      <c r="A1237" s="29">
        <f t="shared" si="19"/>
        <v>11900</v>
      </c>
      <c r="B1237" s="15">
        <v>872</v>
      </c>
      <c r="C1237" s="15">
        <v>6</v>
      </c>
      <c r="D1237" s="2">
        <v>1817</v>
      </c>
      <c r="E1237">
        <v>4938</v>
      </c>
      <c r="F1237" s="15"/>
      <c r="G1237" s="15"/>
      <c r="H1237" s="18" t="s">
        <v>850</v>
      </c>
      <c r="I1237" s="15">
        <v>0</v>
      </c>
      <c r="J1237" s="15">
        <v>595</v>
      </c>
      <c r="K1237" s="15" t="s">
        <v>867</v>
      </c>
      <c r="L1237" s="43" t="s">
        <v>2782</v>
      </c>
      <c r="P1237" s="41">
        <v>26</v>
      </c>
      <c r="Q1237" s="41">
        <v>6</v>
      </c>
      <c r="R1237" s="41" t="s">
        <v>868</v>
      </c>
      <c r="S1237" s="15" t="s">
        <v>3343</v>
      </c>
      <c r="T1237" s="15"/>
      <c r="U1237" s="15"/>
      <c r="V1237" s="15"/>
      <c r="W1237" s="15"/>
      <c r="X1237" s="15">
        <v>1</v>
      </c>
      <c r="Y1237" s="15" t="s">
        <v>3762</v>
      </c>
      <c r="Z1237" s="15"/>
      <c r="AA1237" s="15"/>
      <c r="AB1237" s="15"/>
      <c r="AC1237" s="15"/>
      <c r="AD1237" s="15"/>
      <c r="AE1237" s="15"/>
      <c r="AF1237" s="15"/>
      <c r="AG1237" s="15"/>
      <c r="AH1237" t="s">
        <v>359</v>
      </c>
    </row>
    <row r="1238" spans="1:34" ht="15.75">
      <c r="A1238" s="29">
        <f t="shared" si="19"/>
        <v>398</v>
      </c>
      <c r="B1238" s="15">
        <v>873</v>
      </c>
      <c r="C1238" s="15">
        <v>6</v>
      </c>
      <c r="D1238" s="2">
        <v>1817</v>
      </c>
      <c r="E1238">
        <v>4965</v>
      </c>
      <c r="F1238" s="15"/>
      <c r="G1238" s="15"/>
      <c r="H1238" s="15" t="s">
        <v>1540</v>
      </c>
      <c r="I1238" s="15">
        <v>398</v>
      </c>
      <c r="J1238" s="15">
        <v>0</v>
      </c>
      <c r="K1238" s="15" t="s">
        <v>867</v>
      </c>
      <c r="L1238" s="43" t="s">
        <v>3763</v>
      </c>
      <c r="P1238" s="41">
        <v>21</v>
      </c>
      <c r="Q1238" s="41">
        <v>3</v>
      </c>
      <c r="R1238" s="41">
        <v>40</v>
      </c>
      <c r="S1238" t="s">
        <v>3321</v>
      </c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t="s">
        <v>359</v>
      </c>
    </row>
    <row r="1239" spans="1:34" ht="15.75">
      <c r="A1239" s="29">
        <f t="shared" si="19"/>
        <v>46218</v>
      </c>
      <c r="B1239" s="18">
        <v>873</v>
      </c>
      <c r="C1239" s="15">
        <v>6</v>
      </c>
      <c r="D1239" s="2">
        <v>1817</v>
      </c>
      <c r="E1239">
        <v>4966</v>
      </c>
      <c r="F1239" s="18"/>
      <c r="G1239" s="18"/>
      <c r="H1239" s="18" t="s">
        <v>1540</v>
      </c>
      <c r="I1239" s="18">
        <f>718+45500</f>
        <v>46218</v>
      </c>
      <c r="J1239" s="18">
        <v>0</v>
      </c>
      <c r="K1239" s="15" t="s">
        <v>867</v>
      </c>
      <c r="L1239" s="43" t="s">
        <v>3764</v>
      </c>
      <c r="M1239" s="41" t="s">
        <v>3362</v>
      </c>
      <c r="O1239" s="41" t="s">
        <v>3765</v>
      </c>
      <c r="P1239" s="41">
        <v>7</v>
      </c>
      <c r="Q1239" s="41">
        <v>5</v>
      </c>
      <c r="R1239" s="41">
        <v>81</v>
      </c>
      <c r="S1239" s="15" t="s">
        <v>3766</v>
      </c>
      <c r="T1239" s="15" t="s">
        <v>3440</v>
      </c>
      <c r="U1239" s="15"/>
      <c r="V1239" s="15" t="s">
        <v>1644</v>
      </c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t="s">
        <v>359</v>
      </c>
    </row>
    <row r="1240" spans="1:34" ht="15.75">
      <c r="A1240" s="29">
        <f t="shared" si="19"/>
        <v>287</v>
      </c>
      <c r="B1240" s="15">
        <v>874</v>
      </c>
      <c r="C1240" s="15">
        <v>6</v>
      </c>
      <c r="D1240" s="2">
        <v>1817</v>
      </c>
      <c r="E1240">
        <v>5010</v>
      </c>
      <c r="F1240" s="15"/>
      <c r="G1240" s="15"/>
      <c r="H1240" s="15" t="s">
        <v>1540</v>
      </c>
      <c r="I1240" s="15">
        <v>287</v>
      </c>
      <c r="J1240" s="15">
        <v>0</v>
      </c>
      <c r="K1240" s="15" t="s">
        <v>867</v>
      </c>
      <c r="L1240" s="43" t="s">
        <v>5927</v>
      </c>
      <c r="P1240" s="41">
        <v>27</v>
      </c>
      <c r="Q1240" s="41">
        <v>8</v>
      </c>
      <c r="R1240" s="41">
        <v>70</v>
      </c>
      <c r="S1240" t="s">
        <v>3321</v>
      </c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t="s">
        <v>359</v>
      </c>
    </row>
    <row r="1241" spans="1:34" ht="15.75">
      <c r="A1241" s="29">
        <f t="shared" si="19"/>
        <v>70</v>
      </c>
      <c r="B1241" s="15">
        <v>874</v>
      </c>
      <c r="C1241" s="15">
        <v>6</v>
      </c>
      <c r="D1241" s="2">
        <v>1817</v>
      </c>
      <c r="E1241">
        <v>5011</v>
      </c>
      <c r="F1241" s="15"/>
      <c r="G1241" s="15"/>
      <c r="H1241" s="15" t="s">
        <v>1541</v>
      </c>
      <c r="I1241" s="15">
        <v>70</v>
      </c>
      <c r="J1241" s="15">
        <v>0</v>
      </c>
      <c r="K1241" s="15" t="s">
        <v>867</v>
      </c>
      <c r="L1241" s="43" t="s">
        <v>2785</v>
      </c>
      <c r="P1241" s="41">
        <v>7</v>
      </c>
      <c r="Q1241" s="41">
        <v>10</v>
      </c>
      <c r="R1241" s="41">
        <v>64</v>
      </c>
      <c r="S1241" t="s">
        <v>3321</v>
      </c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t="s">
        <v>359</v>
      </c>
    </row>
    <row r="1242" spans="1:34" ht="15.75">
      <c r="A1242" s="29">
        <f t="shared" si="19"/>
        <v>478</v>
      </c>
      <c r="B1242" s="15">
        <v>874</v>
      </c>
      <c r="C1242" s="15">
        <v>6</v>
      </c>
      <c r="D1242" s="2">
        <v>1817</v>
      </c>
      <c r="E1242">
        <v>5012</v>
      </c>
      <c r="F1242" s="15"/>
      <c r="G1242" s="15"/>
      <c r="H1242" s="15" t="s">
        <v>1541</v>
      </c>
      <c r="I1242" s="15">
        <v>478</v>
      </c>
      <c r="J1242" s="15">
        <v>0</v>
      </c>
      <c r="K1242" s="15" t="s">
        <v>867</v>
      </c>
      <c r="L1242" s="43" t="s">
        <v>4194</v>
      </c>
      <c r="P1242" s="41">
        <v>3</v>
      </c>
      <c r="Q1242" s="41">
        <v>3</v>
      </c>
      <c r="R1242" s="41">
        <v>76</v>
      </c>
      <c r="S1242" t="s">
        <v>3321</v>
      </c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t="s">
        <v>359</v>
      </c>
    </row>
    <row r="1243" spans="1:34" ht="15">
      <c r="A1243" s="29">
        <f t="shared" si="19"/>
        <v>3000</v>
      </c>
      <c r="B1243" s="15">
        <v>874</v>
      </c>
      <c r="C1243" s="15">
        <v>6</v>
      </c>
      <c r="D1243" s="15">
        <v>1817</v>
      </c>
      <c r="E1243">
        <v>5013</v>
      </c>
      <c r="F1243" s="15"/>
      <c r="G1243" s="15"/>
      <c r="H1243" s="15" t="s">
        <v>1541</v>
      </c>
      <c r="I1243" s="15">
        <v>3000</v>
      </c>
      <c r="J1243" s="15">
        <v>0</v>
      </c>
      <c r="K1243" s="15" t="s">
        <v>867</v>
      </c>
      <c r="L1243" s="43" t="s">
        <v>4194</v>
      </c>
      <c r="P1243" s="41">
        <v>15</v>
      </c>
      <c r="Q1243" s="41">
        <v>8</v>
      </c>
      <c r="R1243" s="41">
        <v>26</v>
      </c>
      <c r="S1243" t="s">
        <v>3321</v>
      </c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t="s">
        <v>359</v>
      </c>
    </row>
    <row r="1244" spans="1:34" ht="15">
      <c r="A1244" s="29">
        <f t="shared" si="19"/>
        <v>128</v>
      </c>
      <c r="B1244" s="15">
        <v>875</v>
      </c>
      <c r="C1244" s="15">
        <v>6</v>
      </c>
      <c r="D1244" s="15">
        <v>1817</v>
      </c>
      <c r="E1244">
        <v>5037</v>
      </c>
      <c r="F1244" s="15"/>
      <c r="G1244" s="15"/>
      <c r="H1244" s="15" t="s">
        <v>4655</v>
      </c>
      <c r="I1244" s="15">
        <v>128</v>
      </c>
      <c r="J1244" s="15">
        <v>0</v>
      </c>
      <c r="K1244" s="15" t="s">
        <v>869</v>
      </c>
      <c r="L1244" s="43" t="s">
        <v>1377</v>
      </c>
      <c r="P1244" s="41">
        <v>18</v>
      </c>
      <c r="Q1244" s="41">
        <v>10</v>
      </c>
      <c r="R1244" s="41" t="s">
        <v>868</v>
      </c>
      <c r="S1244" t="s">
        <v>3321</v>
      </c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t="s">
        <v>359</v>
      </c>
    </row>
    <row r="1245" spans="1:34" ht="15">
      <c r="A1245" s="29">
        <f t="shared" si="19"/>
        <v>3278</v>
      </c>
      <c r="B1245" s="15">
        <v>875</v>
      </c>
      <c r="C1245" s="15">
        <v>6</v>
      </c>
      <c r="D1245" s="15">
        <v>1817</v>
      </c>
      <c r="E1245">
        <v>5038</v>
      </c>
      <c r="F1245" s="15"/>
      <c r="G1245" s="15"/>
      <c r="H1245" s="18" t="s">
        <v>4655</v>
      </c>
      <c r="I1245" s="15">
        <v>3278</v>
      </c>
      <c r="J1245" s="15">
        <v>0</v>
      </c>
      <c r="K1245" s="15" t="s">
        <v>869</v>
      </c>
      <c r="L1245" s="43" t="s">
        <v>1377</v>
      </c>
      <c r="P1245" s="41">
        <v>30</v>
      </c>
      <c r="Q1245" s="41">
        <v>9</v>
      </c>
      <c r="R1245" s="41" t="s">
        <v>868</v>
      </c>
      <c r="S1245" t="s">
        <v>1547</v>
      </c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t="s">
        <v>359</v>
      </c>
    </row>
    <row r="1246" spans="1:34" ht="15">
      <c r="A1246" s="29">
        <f t="shared" si="19"/>
        <v>912</v>
      </c>
      <c r="B1246" s="15">
        <v>875</v>
      </c>
      <c r="C1246" s="15">
        <v>6</v>
      </c>
      <c r="D1246" s="15">
        <v>1817</v>
      </c>
      <c r="E1246">
        <v>5039</v>
      </c>
      <c r="F1246" s="15"/>
      <c r="G1246" s="15"/>
      <c r="H1246" s="15" t="s">
        <v>4655</v>
      </c>
      <c r="I1246" s="15">
        <v>912</v>
      </c>
      <c r="J1246" s="15">
        <v>0</v>
      </c>
      <c r="K1246" s="15" t="s">
        <v>869</v>
      </c>
      <c r="L1246" s="43" t="s">
        <v>1377</v>
      </c>
      <c r="P1246" s="41">
        <v>4</v>
      </c>
      <c r="Q1246" s="41">
        <v>12</v>
      </c>
      <c r="R1246" s="41" t="s">
        <v>868</v>
      </c>
      <c r="S1246" t="s">
        <v>1547</v>
      </c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t="s">
        <v>359</v>
      </c>
    </row>
    <row r="1247" spans="1:34" ht="15.75">
      <c r="A1247" s="29">
        <f t="shared" si="19"/>
        <v>15460</v>
      </c>
      <c r="B1247" s="15">
        <v>876</v>
      </c>
      <c r="C1247" s="15">
        <v>6</v>
      </c>
      <c r="D1247" s="2">
        <v>1817</v>
      </c>
      <c r="E1247">
        <v>5056</v>
      </c>
      <c r="F1247" s="15"/>
      <c r="G1247" s="15"/>
      <c r="H1247" s="15" t="s">
        <v>1541</v>
      </c>
      <c r="I1247" s="15">
        <v>15460</v>
      </c>
      <c r="J1247" s="15">
        <v>0</v>
      </c>
      <c r="K1247" s="15" t="s">
        <v>870</v>
      </c>
      <c r="L1247" s="43" t="s">
        <v>3767</v>
      </c>
      <c r="P1247" s="41">
        <v>2</v>
      </c>
      <c r="Q1247" s="41">
        <v>12</v>
      </c>
      <c r="R1247" s="41">
        <v>68</v>
      </c>
      <c r="S1247" s="15" t="s">
        <v>1547</v>
      </c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t="s">
        <v>359</v>
      </c>
    </row>
    <row r="1248" spans="1:34" ht="15.75">
      <c r="A1248" s="29">
        <f t="shared" si="19"/>
        <v>56700</v>
      </c>
      <c r="B1248" s="18">
        <v>876</v>
      </c>
      <c r="C1248" s="15">
        <v>6</v>
      </c>
      <c r="D1248" s="2">
        <v>1817</v>
      </c>
      <c r="E1248">
        <v>5057</v>
      </c>
      <c r="F1248" s="18"/>
      <c r="G1248" s="18"/>
      <c r="H1248" s="18" t="s">
        <v>1541</v>
      </c>
      <c r="I1248" s="18">
        <v>56700</v>
      </c>
      <c r="J1248" s="18">
        <v>0</v>
      </c>
      <c r="K1248" s="15" t="s">
        <v>870</v>
      </c>
      <c r="L1248" s="43" t="s">
        <v>3768</v>
      </c>
      <c r="M1248" s="41" t="s">
        <v>3769</v>
      </c>
      <c r="O1248" s="41" t="s">
        <v>3770</v>
      </c>
      <c r="P1248" s="41">
        <v>7</v>
      </c>
      <c r="Q1248" s="41">
        <v>7</v>
      </c>
      <c r="R1248" s="41">
        <v>66</v>
      </c>
      <c r="S1248" s="15" t="s">
        <v>3771</v>
      </c>
      <c r="T1248" s="15" t="s">
        <v>1262</v>
      </c>
      <c r="U1248" s="15"/>
      <c r="V1248" s="15" t="s">
        <v>3772</v>
      </c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t="s">
        <v>359</v>
      </c>
    </row>
    <row r="1249" spans="1:34" ht="15.75">
      <c r="A1249" s="29">
        <f t="shared" si="19"/>
        <v>2111</v>
      </c>
      <c r="B1249" s="15">
        <v>876</v>
      </c>
      <c r="C1249" s="15">
        <v>6</v>
      </c>
      <c r="D1249" s="2">
        <v>1817</v>
      </c>
      <c r="E1249">
        <v>5058</v>
      </c>
      <c r="F1249" s="15"/>
      <c r="G1249" s="15"/>
      <c r="H1249" s="15" t="s">
        <v>1541</v>
      </c>
      <c r="I1249" s="15">
        <v>2111</v>
      </c>
      <c r="J1249" s="15">
        <v>0</v>
      </c>
      <c r="K1249" s="15" t="s">
        <v>870</v>
      </c>
      <c r="L1249" s="43" t="s">
        <v>3773</v>
      </c>
      <c r="P1249" s="41">
        <v>27</v>
      </c>
      <c r="Q1249" s="41">
        <v>11</v>
      </c>
      <c r="R1249" s="41" t="s">
        <v>868</v>
      </c>
      <c r="S1249" t="s">
        <v>3321</v>
      </c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t="s">
        <v>359</v>
      </c>
    </row>
    <row r="1250" spans="1:34" ht="15.75">
      <c r="A1250" s="29">
        <f t="shared" si="19"/>
        <v>382</v>
      </c>
      <c r="B1250" s="15">
        <v>876</v>
      </c>
      <c r="C1250" s="15">
        <v>6</v>
      </c>
      <c r="D1250" s="2">
        <v>1817</v>
      </c>
      <c r="E1250">
        <v>5060</v>
      </c>
      <c r="F1250" s="15"/>
      <c r="G1250" s="15"/>
      <c r="H1250" s="15" t="s">
        <v>1541</v>
      </c>
      <c r="I1250" s="15">
        <v>382</v>
      </c>
      <c r="J1250" s="15">
        <v>0</v>
      </c>
      <c r="K1250" s="15" t="s">
        <v>870</v>
      </c>
      <c r="L1250" s="43" t="s">
        <v>2318</v>
      </c>
      <c r="P1250" s="41">
        <v>16</v>
      </c>
      <c r="Q1250" s="41">
        <v>10</v>
      </c>
      <c r="R1250" s="41">
        <v>65</v>
      </c>
      <c r="S1250" t="s">
        <v>3321</v>
      </c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t="s">
        <v>359</v>
      </c>
    </row>
    <row r="1251" spans="1:34" ht="15.75">
      <c r="A1251" s="29">
        <f t="shared" si="19"/>
        <v>608</v>
      </c>
      <c r="B1251" s="15">
        <v>877</v>
      </c>
      <c r="C1251" s="15">
        <v>6</v>
      </c>
      <c r="D1251" s="2">
        <v>1817</v>
      </c>
      <c r="E1251">
        <v>5102</v>
      </c>
      <c r="F1251" s="15"/>
      <c r="G1251" s="15"/>
      <c r="H1251" s="15" t="s">
        <v>1541</v>
      </c>
      <c r="I1251" s="15">
        <v>608</v>
      </c>
      <c r="J1251" s="15">
        <v>0</v>
      </c>
      <c r="K1251" s="15" t="s">
        <v>870</v>
      </c>
      <c r="L1251" s="43" t="s">
        <v>2306</v>
      </c>
      <c r="P1251" s="41">
        <v>24</v>
      </c>
      <c r="Q1251" s="41">
        <v>5</v>
      </c>
      <c r="R1251" s="41">
        <v>78</v>
      </c>
      <c r="S1251" t="s">
        <v>1547</v>
      </c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t="s">
        <v>359</v>
      </c>
    </row>
    <row r="1252" spans="1:34" ht="15.75">
      <c r="A1252" s="29">
        <f t="shared" si="19"/>
        <v>118</v>
      </c>
      <c r="B1252" s="15">
        <v>877</v>
      </c>
      <c r="C1252" s="15">
        <v>6</v>
      </c>
      <c r="D1252" s="2">
        <v>1817</v>
      </c>
      <c r="E1252">
        <v>5103</v>
      </c>
      <c r="F1252" s="15"/>
      <c r="G1252" s="15"/>
      <c r="H1252" s="15" t="s">
        <v>1540</v>
      </c>
      <c r="I1252" s="15">
        <v>118</v>
      </c>
      <c r="J1252" s="15">
        <v>0</v>
      </c>
      <c r="K1252" s="15" t="s">
        <v>870</v>
      </c>
      <c r="L1252" s="43" t="s">
        <v>3774</v>
      </c>
      <c r="P1252" s="41">
        <v>8</v>
      </c>
      <c r="Q1252" s="41">
        <v>4</v>
      </c>
      <c r="R1252" s="41">
        <v>60</v>
      </c>
      <c r="S1252" t="s">
        <v>1547</v>
      </c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t="s">
        <v>359</v>
      </c>
    </row>
    <row r="1253" spans="1:34" ht="15.75">
      <c r="A1253" s="29">
        <f t="shared" si="19"/>
        <v>345</v>
      </c>
      <c r="B1253" s="15">
        <v>877</v>
      </c>
      <c r="C1253" s="15">
        <v>6</v>
      </c>
      <c r="D1253" s="2">
        <v>1817</v>
      </c>
      <c r="E1253">
        <v>5104</v>
      </c>
      <c r="F1253" s="15"/>
      <c r="G1253" s="15"/>
      <c r="H1253" s="15" t="s">
        <v>1540</v>
      </c>
      <c r="I1253" s="15">
        <v>345</v>
      </c>
      <c r="J1253" s="15">
        <v>0</v>
      </c>
      <c r="K1253" s="15" t="s">
        <v>870</v>
      </c>
      <c r="L1253" s="43" t="s">
        <v>3774</v>
      </c>
      <c r="P1253" s="41">
        <v>5</v>
      </c>
      <c r="Q1253" s="41">
        <v>5</v>
      </c>
      <c r="R1253" s="41">
        <v>72</v>
      </c>
      <c r="S1253" t="s">
        <v>3321</v>
      </c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t="s">
        <v>359</v>
      </c>
    </row>
    <row r="1254" spans="1:34" ht="15.75">
      <c r="A1254" s="29">
        <f t="shared" si="19"/>
        <v>512</v>
      </c>
      <c r="B1254" s="15">
        <v>877</v>
      </c>
      <c r="C1254" s="15">
        <v>6</v>
      </c>
      <c r="D1254" s="2">
        <v>1817</v>
      </c>
      <c r="E1254">
        <v>5105</v>
      </c>
      <c r="F1254" s="15"/>
      <c r="G1254" s="15"/>
      <c r="H1254" s="15" t="s">
        <v>1540</v>
      </c>
      <c r="I1254" s="15">
        <v>512</v>
      </c>
      <c r="J1254" s="15">
        <v>0</v>
      </c>
      <c r="K1254" s="15" t="s">
        <v>870</v>
      </c>
      <c r="L1254" s="43" t="s">
        <v>3774</v>
      </c>
      <c r="P1254" s="41">
        <v>28</v>
      </c>
      <c r="Q1254" s="41">
        <v>12</v>
      </c>
      <c r="R1254" s="41">
        <v>58</v>
      </c>
      <c r="S1254" t="s">
        <v>3321</v>
      </c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t="s">
        <v>359</v>
      </c>
    </row>
    <row r="1255" spans="1:34" ht="15.75">
      <c r="A1255" s="29">
        <f t="shared" si="19"/>
        <v>20848.464</v>
      </c>
      <c r="B1255" s="18">
        <v>877</v>
      </c>
      <c r="C1255" s="15">
        <v>6</v>
      </c>
      <c r="D1255" s="2">
        <v>1817</v>
      </c>
      <c r="E1255">
        <v>5106</v>
      </c>
      <c r="F1255" s="18"/>
      <c r="G1255" s="18"/>
      <c r="H1255" s="18" t="s">
        <v>1541</v>
      </c>
      <c r="I1255" s="18">
        <v>0</v>
      </c>
      <c r="J1255" s="18">
        <v>2400</v>
      </c>
      <c r="K1255" s="15" t="s">
        <v>870</v>
      </c>
      <c r="L1255" s="43" t="s">
        <v>3775</v>
      </c>
      <c r="M1255" s="43" t="s">
        <v>3776</v>
      </c>
      <c r="N1255" s="43" t="s">
        <v>3777</v>
      </c>
      <c r="O1255" s="43" t="s">
        <v>3778</v>
      </c>
      <c r="P1255" s="43">
        <v>19</v>
      </c>
      <c r="Q1255" s="43">
        <v>7</v>
      </c>
      <c r="R1255" s="43" t="s">
        <v>1267</v>
      </c>
      <c r="S1255" s="15"/>
      <c r="T1255" s="15" t="s">
        <v>881</v>
      </c>
      <c r="U1255" s="15"/>
      <c r="V1255" s="15" t="s">
        <v>3779</v>
      </c>
      <c r="W1255" s="15"/>
      <c r="X1255" s="15">
        <v>0.434343</v>
      </c>
      <c r="Y1255" s="15" t="s">
        <v>3780</v>
      </c>
      <c r="Z1255" s="15"/>
      <c r="AA1255" s="15"/>
      <c r="AB1255" s="15"/>
      <c r="AC1255" s="15"/>
      <c r="AD1255" s="15"/>
      <c r="AE1255" s="15"/>
      <c r="AF1255" s="15"/>
      <c r="AG1255" s="15"/>
      <c r="AH1255" t="s">
        <v>359</v>
      </c>
    </row>
    <row r="1256" spans="1:34" ht="15.75">
      <c r="A1256" s="29">
        <f t="shared" si="19"/>
        <v>776</v>
      </c>
      <c r="B1256" s="15">
        <v>877</v>
      </c>
      <c r="C1256" s="15">
        <v>6</v>
      </c>
      <c r="D1256" s="2">
        <v>1817</v>
      </c>
      <c r="E1256">
        <v>5107</v>
      </c>
      <c r="F1256" s="15"/>
      <c r="G1256" s="15"/>
      <c r="H1256" s="15" t="s">
        <v>1541</v>
      </c>
      <c r="I1256" s="15">
        <v>776</v>
      </c>
      <c r="J1256" s="15">
        <v>0</v>
      </c>
      <c r="K1256" s="15" t="s">
        <v>870</v>
      </c>
      <c r="L1256" s="43" t="s">
        <v>2311</v>
      </c>
      <c r="P1256" s="43">
        <v>15</v>
      </c>
      <c r="Q1256" s="43">
        <v>11</v>
      </c>
      <c r="R1256" s="43">
        <v>50</v>
      </c>
      <c r="S1256" s="15" t="s">
        <v>1547</v>
      </c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t="s">
        <v>359</v>
      </c>
    </row>
    <row r="1257" spans="1:34" ht="15.75">
      <c r="A1257" s="29">
        <f t="shared" si="19"/>
        <v>196</v>
      </c>
      <c r="B1257" s="15">
        <v>877</v>
      </c>
      <c r="C1257" s="15">
        <v>6</v>
      </c>
      <c r="D1257" s="2">
        <v>1817</v>
      </c>
      <c r="E1257">
        <v>5108</v>
      </c>
      <c r="F1257" s="15"/>
      <c r="G1257" s="15"/>
      <c r="H1257" s="15" t="s">
        <v>1540</v>
      </c>
      <c r="I1257" s="15">
        <v>196</v>
      </c>
      <c r="J1257" s="15">
        <v>0</v>
      </c>
      <c r="K1257" s="15" t="s">
        <v>870</v>
      </c>
      <c r="L1257" s="43" t="s">
        <v>2312</v>
      </c>
      <c r="P1257" s="43">
        <v>17</v>
      </c>
      <c r="Q1257" s="43">
        <v>6</v>
      </c>
      <c r="R1257" s="41" t="s">
        <v>868</v>
      </c>
      <c r="S1257" s="15" t="s">
        <v>3329</v>
      </c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t="s">
        <v>359</v>
      </c>
    </row>
    <row r="1258" spans="1:34" ht="15.75">
      <c r="A1258" s="29">
        <f t="shared" si="19"/>
        <v>85</v>
      </c>
      <c r="B1258" s="15">
        <v>878</v>
      </c>
      <c r="C1258" s="15">
        <v>6</v>
      </c>
      <c r="D1258" s="2">
        <v>1817</v>
      </c>
      <c r="E1258">
        <v>5139</v>
      </c>
      <c r="F1258" s="15"/>
      <c r="G1258" s="15"/>
      <c r="H1258" s="15" t="s">
        <v>1549</v>
      </c>
      <c r="I1258" s="15">
        <v>85</v>
      </c>
      <c r="J1258" s="15">
        <v>0</v>
      </c>
      <c r="K1258" s="15" t="s">
        <v>870</v>
      </c>
      <c r="L1258" s="43" t="s">
        <v>2321</v>
      </c>
      <c r="P1258" s="41">
        <v>16</v>
      </c>
      <c r="Q1258" s="41">
        <v>11</v>
      </c>
      <c r="R1258" s="41">
        <v>80</v>
      </c>
      <c r="S1258" s="15" t="s">
        <v>1547</v>
      </c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t="s">
        <v>359</v>
      </c>
    </row>
    <row r="1259" spans="1:34" ht="15.75">
      <c r="A1259" s="29">
        <f t="shared" si="19"/>
        <v>397</v>
      </c>
      <c r="B1259" s="15">
        <v>878</v>
      </c>
      <c r="C1259" s="15">
        <v>6</v>
      </c>
      <c r="D1259" s="2">
        <v>1817</v>
      </c>
      <c r="E1259">
        <v>5141</v>
      </c>
      <c r="F1259" s="15"/>
      <c r="G1259" s="15"/>
      <c r="H1259" s="15" t="s">
        <v>1541</v>
      </c>
      <c r="I1259" s="15">
        <v>397</v>
      </c>
      <c r="J1259" s="15">
        <v>0</v>
      </c>
      <c r="K1259" s="15" t="s">
        <v>870</v>
      </c>
      <c r="L1259" s="43" t="s">
        <v>4208</v>
      </c>
      <c r="P1259" s="41">
        <v>6</v>
      </c>
      <c r="Q1259" s="41">
        <v>11</v>
      </c>
      <c r="R1259" s="41">
        <v>21</v>
      </c>
      <c r="S1259" t="s">
        <v>3321</v>
      </c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t="s">
        <v>359</v>
      </c>
    </row>
    <row r="1260" spans="1:34" ht="15.75">
      <c r="A1260" s="29">
        <f t="shared" si="19"/>
        <v>171</v>
      </c>
      <c r="B1260" s="15">
        <v>879</v>
      </c>
      <c r="C1260" s="15">
        <v>6</v>
      </c>
      <c r="D1260" s="2">
        <v>1817</v>
      </c>
      <c r="E1260">
        <v>5180</v>
      </c>
      <c r="F1260" s="15"/>
      <c r="G1260" s="15"/>
      <c r="H1260" s="15" t="s">
        <v>1541</v>
      </c>
      <c r="I1260" s="15">
        <v>171</v>
      </c>
      <c r="J1260" s="15">
        <v>0</v>
      </c>
      <c r="K1260" s="15" t="s">
        <v>4217</v>
      </c>
      <c r="L1260" s="43" t="s">
        <v>4212</v>
      </c>
      <c r="P1260" s="41">
        <v>2</v>
      </c>
      <c r="Q1260" s="41">
        <v>4</v>
      </c>
      <c r="R1260" s="41">
        <v>37</v>
      </c>
      <c r="S1260" t="s">
        <v>3321</v>
      </c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t="s">
        <v>359</v>
      </c>
    </row>
    <row r="1261" spans="1:34" ht="15.75">
      <c r="A1261" s="29">
        <f t="shared" si="19"/>
        <v>300</v>
      </c>
      <c r="B1261" s="15">
        <v>879</v>
      </c>
      <c r="C1261" s="15">
        <v>6</v>
      </c>
      <c r="D1261" s="2">
        <v>1817</v>
      </c>
      <c r="E1261">
        <v>5181</v>
      </c>
      <c r="F1261" s="15"/>
      <c r="G1261" s="15"/>
      <c r="H1261" s="15" t="s">
        <v>1541</v>
      </c>
      <c r="I1261" s="15">
        <v>300</v>
      </c>
      <c r="J1261" s="15">
        <v>0</v>
      </c>
      <c r="K1261" s="15" t="s">
        <v>4217</v>
      </c>
      <c r="L1261" s="43" t="s">
        <v>3785</v>
      </c>
      <c r="P1261" s="41">
        <v>18</v>
      </c>
      <c r="Q1261" s="41">
        <v>11</v>
      </c>
      <c r="R1261" s="41">
        <v>58</v>
      </c>
      <c r="S1261" s="15" t="s">
        <v>3329</v>
      </c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t="s">
        <v>359</v>
      </c>
    </row>
    <row r="1262" spans="1:34" ht="15.75">
      <c r="A1262" s="29">
        <f t="shared" si="19"/>
        <v>2185</v>
      </c>
      <c r="B1262" s="15">
        <v>879</v>
      </c>
      <c r="C1262" s="15">
        <v>6</v>
      </c>
      <c r="D1262" s="2">
        <v>1817</v>
      </c>
      <c r="E1262">
        <v>5182</v>
      </c>
      <c r="F1262" s="15"/>
      <c r="G1262" s="15"/>
      <c r="H1262" s="15" t="s">
        <v>1541</v>
      </c>
      <c r="I1262" s="15">
        <f>201+1984</f>
        <v>2185</v>
      </c>
      <c r="J1262" s="15">
        <v>0</v>
      </c>
      <c r="K1262" s="15" t="s">
        <v>4217</v>
      </c>
      <c r="L1262" s="43" t="s">
        <v>4213</v>
      </c>
      <c r="P1262" s="41">
        <v>4</v>
      </c>
      <c r="Q1262" s="41">
        <v>8</v>
      </c>
      <c r="R1262" s="41">
        <v>37</v>
      </c>
      <c r="S1262" s="15" t="s">
        <v>3329</v>
      </c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t="s">
        <v>359</v>
      </c>
    </row>
    <row r="1263" spans="1:34" ht="15.75">
      <c r="A1263" s="29">
        <f t="shared" si="19"/>
        <v>23425</v>
      </c>
      <c r="B1263" s="18">
        <v>879</v>
      </c>
      <c r="C1263" s="15">
        <v>6</v>
      </c>
      <c r="D1263" s="2">
        <v>1817</v>
      </c>
      <c r="E1263">
        <v>5183</v>
      </c>
      <c r="F1263" s="18"/>
      <c r="G1263" s="18"/>
      <c r="H1263" s="18" t="s">
        <v>1541</v>
      </c>
      <c r="I1263" s="18">
        <v>23425</v>
      </c>
      <c r="J1263" s="18">
        <v>0</v>
      </c>
      <c r="K1263" s="15" t="s">
        <v>4217</v>
      </c>
      <c r="L1263" s="43" t="s">
        <v>3786</v>
      </c>
      <c r="M1263" s="43" t="s">
        <v>3787</v>
      </c>
      <c r="N1263" s="43"/>
      <c r="O1263" s="41" t="s">
        <v>3788</v>
      </c>
      <c r="P1263" s="41">
        <v>14</v>
      </c>
      <c r="Q1263" s="41">
        <v>8</v>
      </c>
      <c r="R1263" s="41" t="s">
        <v>1547</v>
      </c>
      <c r="S1263" s="15" t="s">
        <v>1547</v>
      </c>
      <c r="T1263" s="15" t="s">
        <v>3790</v>
      </c>
      <c r="U1263" s="15" t="s">
        <v>3789</v>
      </c>
      <c r="V1263" s="15" t="s">
        <v>4876</v>
      </c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t="s">
        <v>359</v>
      </c>
    </row>
    <row r="1264" spans="1:34" ht="15.75">
      <c r="A1264" s="39">
        <f t="shared" si="19"/>
        <v>371</v>
      </c>
      <c r="B1264" s="15">
        <v>880</v>
      </c>
      <c r="C1264" s="15">
        <v>6</v>
      </c>
      <c r="D1264" s="2">
        <v>1817</v>
      </c>
      <c r="E1264">
        <v>5214</v>
      </c>
      <c r="F1264" s="15"/>
      <c r="G1264" s="15"/>
      <c r="H1264" s="15" t="s">
        <v>1541</v>
      </c>
      <c r="I1264" s="15">
        <v>371</v>
      </c>
      <c r="J1264" s="15">
        <v>0</v>
      </c>
      <c r="K1264" s="15" t="s">
        <v>871</v>
      </c>
      <c r="L1264" s="43" t="s">
        <v>4808</v>
      </c>
      <c r="P1264" s="41">
        <v>4</v>
      </c>
      <c r="Q1264" s="41">
        <v>4</v>
      </c>
      <c r="R1264" s="41">
        <v>45</v>
      </c>
      <c r="S1264" t="s">
        <v>1547</v>
      </c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t="s">
        <v>359</v>
      </c>
    </row>
    <row r="1265" spans="1:34" ht="15.75">
      <c r="A1265" s="29">
        <f t="shared" si="19"/>
        <v>60</v>
      </c>
      <c r="B1265" s="15">
        <v>880</v>
      </c>
      <c r="C1265" s="15">
        <v>6</v>
      </c>
      <c r="D1265" s="2">
        <v>1817</v>
      </c>
      <c r="E1265">
        <v>5215</v>
      </c>
      <c r="F1265" s="15"/>
      <c r="G1265" s="15"/>
      <c r="H1265" s="15" t="s">
        <v>1540</v>
      </c>
      <c r="I1265" s="15">
        <v>60</v>
      </c>
      <c r="J1265" s="15">
        <v>0</v>
      </c>
      <c r="K1265" s="15" t="s">
        <v>871</v>
      </c>
      <c r="L1265" s="43" t="s">
        <v>4811</v>
      </c>
      <c r="P1265" s="41">
        <v>10</v>
      </c>
      <c r="Q1265" s="41">
        <v>1</v>
      </c>
      <c r="R1265" s="41">
        <v>59</v>
      </c>
      <c r="S1265" t="s">
        <v>3321</v>
      </c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t="s">
        <v>359</v>
      </c>
    </row>
    <row r="1266" spans="1:34" ht="15.75">
      <c r="A1266" s="29">
        <f t="shared" si="19"/>
        <v>8909</v>
      </c>
      <c r="B1266" s="15">
        <v>880</v>
      </c>
      <c r="C1266" s="15">
        <v>6</v>
      </c>
      <c r="D1266" s="2">
        <v>1817</v>
      </c>
      <c r="E1266">
        <v>5216</v>
      </c>
      <c r="F1266" s="15"/>
      <c r="G1266" s="15"/>
      <c r="H1266" s="15" t="s">
        <v>1549</v>
      </c>
      <c r="I1266" s="15">
        <v>8909</v>
      </c>
      <c r="J1266" s="15">
        <v>0</v>
      </c>
      <c r="K1266" s="15" t="s">
        <v>871</v>
      </c>
      <c r="L1266" s="43" t="s">
        <v>4218</v>
      </c>
      <c r="P1266" s="41">
        <v>7</v>
      </c>
      <c r="Q1266" s="41">
        <v>7</v>
      </c>
      <c r="R1266" s="41">
        <v>82</v>
      </c>
      <c r="S1266" t="s">
        <v>3321</v>
      </c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t="s">
        <v>359</v>
      </c>
    </row>
    <row r="1267" spans="1:34" ht="15.75">
      <c r="A1267" s="29">
        <f t="shared" si="19"/>
        <v>133</v>
      </c>
      <c r="B1267" s="15">
        <v>881</v>
      </c>
      <c r="C1267" s="15">
        <v>6</v>
      </c>
      <c r="D1267" s="2">
        <v>1817</v>
      </c>
      <c r="E1267">
        <v>5239</v>
      </c>
      <c r="F1267" s="15"/>
      <c r="G1267" s="15"/>
      <c r="H1267" s="15" t="s">
        <v>1540</v>
      </c>
      <c r="I1267" s="15">
        <v>133</v>
      </c>
      <c r="J1267" s="15">
        <v>0</v>
      </c>
      <c r="K1267" s="15" t="s">
        <v>871</v>
      </c>
      <c r="L1267" s="43" t="s">
        <v>3791</v>
      </c>
      <c r="P1267" s="41">
        <v>9</v>
      </c>
      <c r="Q1267" s="41">
        <v>1</v>
      </c>
      <c r="R1267" s="41">
        <v>76</v>
      </c>
      <c r="S1267" t="s">
        <v>3321</v>
      </c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t="s">
        <v>359</v>
      </c>
    </row>
    <row r="1268" spans="1:34" ht="15.75">
      <c r="A1268" s="29">
        <f t="shared" si="19"/>
        <v>23500</v>
      </c>
      <c r="B1268" s="18">
        <v>881</v>
      </c>
      <c r="C1268" s="15">
        <v>6</v>
      </c>
      <c r="D1268" s="2">
        <v>1817</v>
      </c>
      <c r="E1268">
        <v>5240</v>
      </c>
      <c r="F1268" s="18"/>
      <c r="G1268" s="18"/>
      <c r="H1268" s="18" t="s">
        <v>1540</v>
      </c>
      <c r="I1268" s="18">
        <v>23500</v>
      </c>
      <c r="J1268" s="18">
        <v>0</v>
      </c>
      <c r="K1268" s="15" t="s">
        <v>871</v>
      </c>
      <c r="L1268" s="43" t="s">
        <v>3792</v>
      </c>
      <c r="M1268" s="43" t="s">
        <v>1546</v>
      </c>
      <c r="N1268" s="43" t="s">
        <v>3793</v>
      </c>
      <c r="O1268" s="41" t="s">
        <v>3794</v>
      </c>
      <c r="P1268" s="41">
        <v>13</v>
      </c>
      <c r="Q1268" s="41">
        <v>11</v>
      </c>
      <c r="R1268" s="41" t="s">
        <v>868</v>
      </c>
      <c r="S1268" s="15" t="s">
        <v>847</v>
      </c>
      <c r="T1268" s="15" t="s">
        <v>3795</v>
      </c>
      <c r="U1268" s="15"/>
      <c r="V1268" s="15" t="s">
        <v>1183</v>
      </c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t="s">
        <v>359</v>
      </c>
    </row>
    <row r="1269" spans="1:34" ht="15.75">
      <c r="A1269" s="29">
        <f t="shared" si="19"/>
        <v>59</v>
      </c>
      <c r="B1269" s="15">
        <v>881</v>
      </c>
      <c r="C1269" s="15">
        <v>6</v>
      </c>
      <c r="D1269" s="2">
        <v>1817</v>
      </c>
      <c r="E1269">
        <v>5241</v>
      </c>
      <c r="F1269" s="15"/>
      <c r="G1269" s="15"/>
      <c r="H1269" s="15" t="s">
        <v>1540</v>
      </c>
      <c r="I1269" s="15">
        <v>59</v>
      </c>
      <c r="J1269" s="15">
        <v>0</v>
      </c>
      <c r="K1269" s="15" t="s">
        <v>871</v>
      </c>
      <c r="L1269" s="43" t="s">
        <v>3796</v>
      </c>
      <c r="P1269" s="41">
        <v>6</v>
      </c>
      <c r="Q1269" s="41">
        <v>3</v>
      </c>
      <c r="R1269" s="41">
        <v>49</v>
      </c>
      <c r="S1269" t="s">
        <v>1547</v>
      </c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t="s">
        <v>359</v>
      </c>
    </row>
    <row r="1270" spans="1:34" ht="15.75">
      <c r="A1270" s="29">
        <f t="shared" si="19"/>
        <v>10740</v>
      </c>
      <c r="B1270" s="15">
        <v>882</v>
      </c>
      <c r="C1270" s="15">
        <v>6</v>
      </c>
      <c r="D1270" s="2">
        <v>1817</v>
      </c>
      <c r="E1270">
        <v>5269</v>
      </c>
      <c r="F1270" s="15"/>
      <c r="G1270" s="15"/>
      <c r="H1270" s="15" t="s">
        <v>1541</v>
      </c>
      <c r="I1270" s="15">
        <v>0</v>
      </c>
      <c r="J1270" s="15">
        <v>537</v>
      </c>
      <c r="K1270" s="15" t="s">
        <v>871</v>
      </c>
      <c r="L1270" s="43" t="s">
        <v>4796</v>
      </c>
      <c r="P1270" s="41">
        <v>4</v>
      </c>
      <c r="Q1270" s="41">
        <v>6</v>
      </c>
      <c r="R1270" s="41" t="s">
        <v>868</v>
      </c>
      <c r="S1270" t="s">
        <v>3321</v>
      </c>
      <c r="T1270" s="15"/>
      <c r="U1270" s="15"/>
      <c r="V1270" s="15"/>
      <c r="W1270" s="15"/>
      <c r="X1270" s="15">
        <v>1</v>
      </c>
      <c r="Y1270" s="15" t="s">
        <v>3803</v>
      </c>
      <c r="Z1270" s="15"/>
      <c r="AA1270" s="15"/>
      <c r="AB1270" s="15"/>
      <c r="AC1270" s="15"/>
      <c r="AD1270" s="15"/>
      <c r="AE1270" s="15"/>
      <c r="AF1270" s="15"/>
      <c r="AG1270" s="15"/>
      <c r="AH1270" t="s">
        <v>359</v>
      </c>
    </row>
    <row r="1271" spans="1:34" ht="15.75">
      <c r="A1271" s="29">
        <f t="shared" si="19"/>
        <v>93</v>
      </c>
      <c r="B1271" s="15">
        <v>882</v>
      </c>
      <c r="C1271" s="15">
        <v>6</v>
      </c>
      <c r="D1271" s="2">
        <v>1817</v>
      </c>
      <c r="E1271">
        <v>5270</v>
      </c>
      <c r="F1271" s="15"/>
      <c r="G1271" s="15"/>
      <c r="H1271" s="15" t="s">
        <v>1541</v>
      </c>
      <c r="I1271" s="15">
        <v>93</v>
      </c>
      <c r="J1271" s="15">
        <v>0</v>
      </c>
      <c r="K1271" s="15" t="s">
        <v>871</v>
      </c>
      <c r="L1271" s="43" t="s">
        <v>4797</v>
      </c>
      <c r="P1271" s="41">
        <v>13</v>
      </c>
      <c r="Q1271" s="41">
        <v>10</v>
      </c>
      <c r="R1271" s="41" t="s">
        <v>868</v>
      </c>
      <c r="S1271" t="s">
        <v>3321</v>
      </c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t="s">
        <v>359</v>
      </c>
    </row>
    <row r="1272" spans="1:34" ht="15.75">
      <c r="A1272" s="29">
        <f t="shared" si="19"/>
        <v>40</v>
      </c>
      <c r="B1272" s="15">
        <v>883</v>
      </c>
      <c r="C1272" s="15">
        <v>6</v>
      </c>
      <c r="D1272" s="2">
        <v>1817</v>
      </c>
      <c r="E1272">
        <v>5280</v>
      </c>
      <c r="F1272" s="15"/>
      <c r="G1272" s="15"/>
      <c r="H1272" s="15" t="s">
        <v>1541</v>
      </c>
      <c r="I1272" s="15">
        <v>40</v>
      </c>
      <c r="J1272" s="15">
        <v>0</v>
      </c>
      <c r="K1272" s="15" t="s">
        <v>871</v>
      </c>
      <c r="L1272" s="43" t="s">
        <v>4799</v>
      </c>
      <c r="P1272" s="41">
        <v>1</v>
      </c>
      <c r="Q1272" s="41">
        <v>7</v>
      </c>
      <c r="R1272" s="41">
        <v>59</v>
      </c>
      <c r="S1272" t="s">
        <v>1547</v>
      </c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t="s">
        <v>359</v>
      </c>
    </row>
    <row r="1273" spans="1:34" ht="15.75">
      <c r="A1273" s="29">
        <f t="shared" si="19"/>
        <v>125</v>
      </c>
      <c r="B1273" s="15">
        <v>883</v>
      </c>
      <c r="C1273" s="15">
        <v>6</v>
      </c>
      <c r="D1273" s="2">
        <v>1817</v>
      </c>
      <c r="E1273">
        <v>5281</v>
      </c>
      <c r="F1273" s="15"/>
      <c r="G1273" s="15"/>
      <c r="H1273" s="15" t="s">
        <v>1540</v>
      </c>
      <c r="I1273" s="15">
        <v>125</v>
      </c>
      <c r="J1273" s="15">
        <v>0</v>
      </c>
      <c r="K1273" s="15" t="s">
        <v>871</v>
      </c>
      <c r="L1273" s="43" t="s">
        <v>4801</v>
      </c>
      <c r="P1273" s="41">
        <v>26</v>
      </c>
      <c r="Q1273" s="41">
        <v>9</v>
      </c>
      <c r="R1273" s="41">
        <v>54</v>
      </c>
      <c r="S1273" t="s">
        <v>3321</v>
      </c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t="s">
        <v>359</v>
      </c>
    </row>
    <row r="1274" spans="1:34" ht="15.75">
      <c r="A1274" s="29">
        <f t="shared" si="19"/>
        <v>6156</v>
      </c>
      <c r="B1274" s="15">
        <v>883</v>
      </c>
      <c r="C1274" s="15">
        <v>6</v>
      </c>
      <c r="D1274" s="2">
        <v>1817</v>
      </c>
      <c r="E1274">
        <v>5282</v>
      </c>
      <c r="F1274" s="15"/>
      <c r="G1274" s="15"/>
      <c r="H1274" s="15" t="s">
        <v>1540</v>
      </c>
      <c r="I1274" s="15">
        <v>6156</v>
      </c>
      <c r="J1274" s="15">
        <v>0</v>
      </c>
      <c r="K1274" s="15" t="s">
        <v>871</v>
      </c>
      <c r="L1274" s="43" t="s">
        <v>4801</v>
      </c>
      <c r="P1274" s="41">
        <v>13</v>
      </c>
      <c r="Q1274" s="41">
        <v>10</v>
      </c>
      <c r="R1274" s="41">
        <v>71</v>
      </c>
      <c r="S1274" s="15" t="s">
        <v>3343</v>
      </c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t="s">
        <v>359</v>
      </c>
    </row>
    <row r="1275" spans="1:34" ht="15.75">
      <c r="A1275" s="29">
        <f t="shared" si="19"/>
        <v>193</v>
      </c>
      <c r="B1275" s="15">
        <v>883</v>
      </c>
      <c r="C1275" s="15">
        <v>6</v>
      </c>
      <c r="D1275" s="2">
        <v>1817</v>
      </c>
      <c r="E1275">
        <v>5283</v>
      </c>
      <c r="F1275" s="15"/>
      <c r="G1275" s="15"/>
      <c r="H1275" s="15" t="s">
        <v>1540</v>
      </c>
      <c r="I1275" s="15">
        <v>193</v>
      </c>
      <c r="J1275" s="15">
        <v>0</v>
      </c>
      <c r="K1275" s="15" t="s">
        <v>871</v>
      </c>
      <c r="L1275" s="43" t="s">
        <v>4803</v>
      </c>
      <c r="P1275" s="41">
        <v>18</v>
      </c>
      <c r="Q1275" s="41">
        <v>5</v>
      </c>
      <c r="R1275" s="41">
        <v>36</v>
      </c>
      <c r="S1275" t="s">
        <v>3321</v>
      </c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t="s">
        <v>359</v>
      </c>
    </row>
    <row r="1276" spans="1:34" ht="15.75">
      <c r="A1276" s="29">
        <f t="shared" si="19"/>
        <v>37213</v>
      </c>
      <c r="B1276" s="15">
        <v>883</v>
      </c>
      <c r="C1276" s="15">
        <v>6</v>
      </c>
      <c r="D1276" s="2">
        <v>1817</v>
      </c>
      <c r="E1276">
        <v>5284</v>
      </c>
      <c r="F1276" s="15"/>
      <c r="G1276" s="15"/>
      <c r="H1276" s="15" t="s">
        <v>1540</v>
      </c>
      <c r="I1276" s="15">
        <v>37213</v>
      </c>
      <c r="J1276" s="15">
        <v>0</v>
      </c>
      <c r="K1276" s="15" t="s">
        <v>871</v>
      </c>
      <c r="L1276" s="43" t="s">
        <v>3804</v>
      </c>
      <c r="M1276" s="41" t="s">
        <v>3805</v>
      </c>
      <c r="N1276" s="41" t="s">
        <v>3806</v>
      </c>
      <c r="O1276" s="41" t="s">
        <v>3807</v>
      </c>
      <c r="P1276" s="41">
        <v>25</v>
      </c>
      <c r="Q1276" s="41">
        <v>12</v>
      </c>
      <c r="R1276" s="41">
        <v>41</v>
      </c>
      <c r="S1276" s="15" t="s">
        <v>3808</v>
      </c>
      <c r="T1276" s="15" t="s">
        <v>1547</v>
      </c>
      <c r="U1276" s="15"/>
      <c r="V1276" s="15" t="s">
        <v>3809</v>
      </c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t="s">
        <v>359</v>
      </c>
    </row>
    <row r="1277" spans="1:34" ht="15.75">
      <c r="A1277" s="29">
        <f t="shared" si="19"/>
        <v>478</v>
      </c>
      <c r="B1277" s="15">
        <v>884</v>
      </c>
      <c r="C1277" s="15">
        <v>6</v>
      </c>
      <c r="D1277" s="2">
        <v>1817</v>
      </c>
      <c r="E1277">
        <v>5312</v>
      </c>
      <c r="F1277" s="15"/>
      <c r="G1277" s="15"/>
      <c r="H1277" s="15" t="s">
        <v>1540</v>
      </c>
      <c r="I1277" s="15">
        <v>478</v>
      </c>
      <c r="J1277" s="15">
        <v>0</v>
      </c>
      <c r="K1277" s="15" t="s">
        <v>872</v>
      </c>
      <c r="L1277" s="43" t="s">
        <v>3810</v>
      </c>
      <c r="P1277" s="41">
        <v>28</v>
      </c>
      <c r="Q1277" s="41">
        <v>2</v>
      </c>
      <c r="R1277" s="41">
        <v>79</v>
      </c>
      <c r="S1277" t="s">
        <v>3321</v>
      </c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t="s">
        <v>359</v>
      </c>
    </row>
    <row r="1278" spans="1:34" ht="15.75">
      <c r="A1278" s="29">
        <f t="shared" si="19"/>
        <v>80</v>
      </c>
      <c r="B1278" s="15">
        <v>884</v>
      </c>
      <c r="C1278" s="15">
        <v>6</v>
      </c>
      <c r="D1278" s="2">
        <v>1817</v>
      </c>
      <c r="E1278">
        <v>5313</v>
      </c>
      <c r="F1278" s="15"/>
      <c r="G1278" s="15"/>
      <c r="H1278" s="15" t="s">
        <v>1541</v>
      </c>
      <c r="I1278" s="15">
        <v>80</v>
      </c>
      <c r="J1278" s="15">
        <v>0</v>
      </c>
      <c r="K1278" s="15" t="s">
        <v>872</v>
      </c>
      <c r="L1278" s="43" t="s">
        <v>4821</v>
      </c>
      <c r="P1278" s="41">
        <v>27</v>
      </c>
      <c r="Q1278" s="41">
        <v>2</v>
      </c>
      <c r="R1278" s="41">
        <v>67</v>
      </c>
      <c r="S1278" t="s">
        <v>3321</v>
      </c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t="s">
        <v>359</v>
      </c>
    </row>
    <row r="1279" spans="1:34" ht="15.75">
      <c r="A1279" s="29">
        <f t="shared" si="19"/>
        <v>107</v>
      </c>
      <c r="B1279" s="15">
        <v>884</v>
      </c>
      <c r="C1279" s="15">
        <v>6</v>
      </c>
      <c r="D1279" s="2">
        <v>1817</v>
      </c>
      <c r="E1279">
        <v>5314</v>
      </c>
      <c r="F1279" s="15"/>
      <c r="G1279" s="15"/>
      <c r="H1279" s="15" t="s">
        <v>1540</v>
      </c>
      <c r="I1279" s="15">
        <v>107</v>
      </c>
      <c r="J1279" s="15">
        <v>0</v>
      </c>
      <c r="K1279" s="15" t="s">
        <v>872</v>
      </c>
      <c r="L1279" s="43" t="s">
        <v>4821</v>
      </c>
      <c r="P1279" s="41">
        <v>9</v>
      </c>
      <c r="Q1279" s="41">
        <v>11</v>
      </c>
      <c r="R1279" s="41" t="s">
        <v>868</v>
      </c>
      <c r="S1279" t="s">
        <v>1547</v>
      </c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t="s">
        <v>359</v>
      </c>
    </row>
    <row r="1280" spans="1:34" ht="15.75">
      <c r="A1280" s="29">
        <f t="shared" si="19"/>
        <v>200</v>
      </c>
      <c r="B1280" s="15">
        <v>884</v>
      </c>
      <c r="C1280" s="15">
        <v>6</v>
      </c>
      <c r="D1280" s="2">
        <v>1817</v>
      </c>
      <c r="E1280">
        <v>5315</v>
      </c>
      <c r="F1280" s="15"/>
      <c r="G1280" s="15"/>
      <c r="H1280" s="15" t="s">
        <v>1541</v>
      </c>
      <c r="I1280" s="15">
        <v>200</v>
      </c>
      <c r="J1280" s="15">
        <v>0</v>
      </c>
      <c r="K1280" s="15" t="s">
        <v>872</v>
      </c>
      <c r="L1280" s="43" t="s">
        <v>4823</v>
      </c>
      <c r="P1280" s="41">
        <v>20</v>
      </c>
      <c r="Q1280" s="41">
        <v>5</v>
      </c>
      <c r="R1280" s="41">
        <v>45</v>
      </c>
      <c r="S1280" t="s">
        <v>3321</v>
      </c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t="s">
        <v>359</v>
      </c>
    </row>
    <row r="1281" spans="1:34" ht="15.75">
      <c r="A1281" s="29">
        <f t="shared" si="19"/>
        <v>21122</v>
      </c>
      <c r="B1281" s="15">
        <v>885</v>
      </c>
      <c r="C1281" s="15">
        <v>6</v>
      </c>
      <c r="D1281" s="2">
        <v>1817</v>
      </c>
      <c r="E1281">
        <v>5333</v>
      </c>
      <c r="F1281" s="15"/>
      <c r="G1281" s="15"/>
      <c r="H1281" s="15" t="s">
        <v>1541</v>
      </c>
      <c r="I1281" s="15">
        <v>7122</v>
      </c>
      <c r="J1281" s="15">
        <v>1400</v>
      </c>
      <c r="K1281" s="15" t="s">
        <v>872</v>
      </c>
      <c r="L1281" s="43" t="s">
        <v>3812</v>
      </c>
      <c r="M1281" s="41" t="s">
        <v>3813</v>
      </c>
      <c r="O1281" s="41" t="s">
        <v>3814</v>
      </c>
      <c r="P1281" s="41">
        <v>29</v>
      </c>
      <c r="Q1281" s="41">
        <v>10</v>
      </c>
      <c r="R1281" s="41">
        <v>34</v>
      </c>
      <c r="S1281" s="15" t="s">
        <v>3815</v>
      </c>
      <c r="T1281" s="15" t="s">
        <v>4784</v>
      </c>
      <c r="U1281" s="15"/>
      <c r="V1281" s="15" t="s">
        <v>3816</v>
      </c>
      <c r="W1281" s="15"/>
      <c r="X1281" s="15">
        <v>0.5</v>
      </c>
      <c r="Y1281" s="15" t="s">
        <v>3817</v>
      </c>
      <c r="Z1281" s="15"/>
      <c r="AA1281" s="15"/>
      <c r="AB1281" s="15"/>
      <c r="AC1281" s="15"/>
      <c r="AD1281" s="15"/>
      <c r="AE1281" s="15"/>
      <c r="AF1281" s="15"/>
      <c r="AG1281" s="15"/>
      <c r="AH1281" t="s">
        <v>359</v>
      </c>
    </row>
    <row r="1282" spans="1:34" ht="15.75">
      <c r="A1282" s="29">
        <f aca="true" t="shared" si="20" ref="A1282:A1345">I1282+J1282*20*X1282</f>
        <v>134</v>
      </c>
      <c r="B1282" s="15">
        <v>885</v>
      </c>
      <c r="C1282" s="15">
        <v>6</v>
      </c>
      <c r="D1282" s="2">
        <v>1817</v>
      </c>
      <c r="E1282">
        <v>5334</v>
      </c>
      <c r="F1282" s="15"/>
      <c r="G1282" s="15"/>
      <c r="H1282" s="15" t="s">
        <v>1540</v>
      </c>
      <c r="I1282" s="15">
        <v>134</v>
      </c>
      <c r="J1282" s="15">
        <v>0</v>
      </c>
      <c r="K1282" s="15" t="s">
        <v>872</v>
      </c>
      <c r="L1282" s="43" t="s">
        <v>4828</v>
      </c>
      <c r="P1282" s="41">
        <v>7</v>
      </c>
      <c r="Q1282" s="41">
        <v>11</v>
      </c>
      <c r="R1282" s="41">
        <v>42</v>
      </c>
      <c r="S1282" t="s">
        <v>3321</v>
      </c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t="s">
        <v>359</v>
      </c>
    </row>
    <row r="1283" spans="1:34" ht="15.75">
      <c r="A1283" s="29">
        <f t="shared" si="20"/>
        <v>1076</v>
      </c>
      <c r="B1283" s="15">
        <v>886</v>
      </c>
      <c r="C1283" s="15">
        <v>6</v>
      </c>
      <c r="D1283" s="2">
        <v>1817</v>
      </c>
      <c r="E1283">
        <v>5367</v>
      </c>
      <c r="F1283" s="15"/>
      <c r="G1283" s="15"/>
      <c r="H1283" s="15" t="s">
        <v>1541</v>
      </c>
      <c r="I1283" s="15">
        <v>1076</v>
      </c>
      <c r="J1283" s="15">
        <v>0</v>
      </c>
      <c r="K1283" s="15" t="s">
        <v>872</v>
      </c>
      <c r="L1283" s="43" t="s">
        <v>5949</v>
      </c>
      <c r="P1283" s="41">
        <v>27</v>
      </c>
      <c r="Q1283" s="41">
        <v>8</v>
      </c>
      <c r="R1283" s="41">
        <v>52</v>
      </c>
      <c r="S1283" t="s">
        <v>3321</v>
      </c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t="s">
        <v>359</v>
      </c>
    </row>
    <row r="1284" spans="1:34" ht="15.75">
      <c r="A1284" s="29">
        <f t="shared" si="20"/>
        <v>10620</v>
      </c>
      <c r="B1284" s="15">
        <v>886</v>
      </c>
      <c r="C1284" s="15">
        <v>6</v>
      </c>
      <c r="D1284" s="2">
        <v>1817</v>
      </c>
      <c r="E1284">
        <v>5368</v>
      </c>
      <c r="F1284" s="15"/>
      <c r="G1284" s="15"/>
      <c r="H1284" s="15" t="s">
        <v>1540</v>
      </c>
      <c r="I1284" s="15">
        <v>10620</v>
      </c>
      <c r="J1284" s="15">
        <v>0</v>
      </c>
      <c r="K1284" s="15" t="s">
        <v>872</v>
      </c>
      <c r="L1284" s="43" t="s">
        <v>5949</v>
      </c>
      <c r="P1284" s="41">
        <v>9</v>
      </c>
      <c r="Q1284" s="41">
        <v>9</v>
      </c>
      <c r="R1284" s="41" t="s">
        <v>2897</v>
      </c>
      <c r="S1284" s="15" t="s">
        <v>3343</v>
      </c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t="s">
        <v>359</v>
      </c>
    </row>
    <row r="1285" spans="1:34" ht="15.75">
      <c r="A1285" s="29">
        <f t="shared" si="20"/>
        <v>80</v>
      </c>
      <c r="B1285" s="15">
        <v>887</v>
      </c>
      <c r="C1285" s="15">
        <v>6</v>
      </c>
      <c r="D1285" s="2">
        <v>1817</v>
      </c>
      <c r="E1285">
        <v>5407</v>
      </c>
      <c r="F1285" s="15"/>
      <c r="G1285" s="15"/>
      <c r="H1285" s="15" t="s">
        <v>1541</v>
      </c>
      <c r="I1285" s="15">
        <v>80</v>
      </c>
      <c r="J1285" s="15">
        <v>0</v>
      </c>
      <c r="K1285" s="15" t="s">
        <v>872</v>
      </c>
      <c r="L1285" s="43" t="s">
        <v>4227</v>
      </c>
      <c r="P1285" s="41">
        <v>24</v>
      </c>
      <c r="Q1285" s="41">
        <v>8</v>
      </c>
      <c r="R1285" s="41">
        <v>20</v>
      </c>
      <c r="S1285" t="s">
        <v>3321</v>
      </c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t="s">
        <v>359</v>
      </c>
    </row>
    <row r="1286" spans="1:34" ht="15.75">
      <c r="A1286" s="29">
        <f t="shared" si="20"/>
        <v>34000</v>
      </c>
      <c r="B1286" s="15">
        <v>887</v>
      </c>
      <c r="C1286" s="15">
        <v>6</v>
      </c>
      <c r="D1286" s="2">
        <v>1817</v>
      </c>
      <c r="E1286">
        <v>5408</v>
      </c>
      <c r="F1286" s="15"/>
      <c r="G1286" s="15"/>
      <c r="H1286" s="15" t="s">
        <v>1540</v>
      </c>
      <c r="I1286" s="15">
        <v>0</v>
      </c>
      <c r="J1286" s="15">
        <v>1700</v>
      </c>
      <c r="K1286" s="15" t="s">
        <v>872</v>
      </c>
      <c r="L1286" s="43" t="s">
        <v>3818</v>
      </c>
      <c r="M1286" s="41" t="s">
        <v>3819</v>
      </c>
      <c r="O1286" s="41" t="s">
        <v>3820</v>
      </c>
      <c r="P1286" s="41">
        <v>28</v>
      </c>
      <c r="Q1286" s="41">
        <v>3</v>
      </c>
      <c r="R1286" s="41" t="s">
        <v>1547</v>
      </c>
      <c r="S1286" s="15" t="s">
        <v>1547</v>
      </c>
      <c r="T1286" s="15" t="s">
        <v>3329</v>
      </c>
      <c r="U1286" s="15"/>
      <c r="V1286" s="15" t="s">
        <v>1455</v>
      </c>
      <c r="W1286" s="15"/>
      <c r="X1286" s="15">
        <v>1</v>
      </c>
      <c r="Y1286" s="15" t="s">
        <v>3821</v>
      </c>
      <c r="Z1286" s="15"/>
      <c r="AA1286" s="15"/>
      <c r="AB1286" s="15"/>
      <c r="AC1286" s="15"/>
      <c r="AD1286" s="15"/>
      <c r="AE1286" s="15"/>
      <c r="AF1286" s="15"/>
      <c r="AG1286" s="15"/>
      <c r="AH1286" t="s">
        <v>359</v>
      </c>
    </row>
    <row r="1287" spans="1:34" ht="15.75">
      <c r="A1287" s="29">
        <f t="shared" si="20"/>
        <v>225</v>
      </c>
      <c r="B1287" s="15">
        <v>888</v>
      </c>
      <c r="C1287" s="15">
        <v>6</v>
      </c>
      <c r="D1287" s="2">
        <v>1817</v>
      </c>
      <c r="E1287">
        <v>5425</v>
      </c>
      <c r="F1287" s="15"/>
      <c r="G1287" s="15"/>
      <c r="H1287" s="15" t="s">
        <v>1540</v>
      </c>
      <c r="I1287" s="15">
        <v>225</v>
      </c>
      <c r="J1287" s="15">
        <v>0</v>
      </c>
      <c r="K1287" s="15" t="s">
        <v>873</v>
      </c>
      <c r="L1287" s="43" t="s">
        <v>4230</v>
      </c>
      <c r="P1287" s="41">
        <v>17</v>
      </c>
      <c r="Q1287" s="41">
        <v>2</v>
      </c>
      <c r="R1287" s="41">
        <v>91</v>
      </c>
      <c r="S1287" s="15" t="s">
        <v>1547</v>
      </c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t="s">
        <v>359</v>
      </c>
    </row>
    <row r="1288" spans="1:34" ht="15.75">
      <c r="A1288" s="29">
        <f t="shared" si="20"/>
        <v>200</v>
      </c>
      <c r="B1288" s="15">
        <v>888</v>
      </c>
      <c r="C1288" s="15">
        <v>6</v>
      </c>
      <c r="D1288" s="2">
        <v>1817</v>
      </c>
      <c r="E1288">
        <v>5426</v>
      </c>
      <c r="F1288" s="15"/>
      <c r="G1288" s="15"/>
      <c r="H1288" s="15" t="s">
        <v>1540</v>
      </c>
      <c r="I1288" s="15">
        <v>200</v>
      </c>
      <c r="J1288" s="15">
        <v>0</v>
      </c>
      <c r="K1288" s="15" t="s">
        <v>873</v>
      </c>
      <c r="L1288" s="43" t="s">
        <v>4233</v>
      </c>
      <c r="P1288" s="41">
        <v>11</v>
      </c>
      <c r="Q1288" s="41">
        <v>2</v>
      </c>
      <c r="R1288" s="41">
        <v>35</v>
      </c>
      <c r="S1288" t="s">
        <v>3321</v>
      </c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t="s">
        <v>359</v>
      </c>
    </row>
    <row r="1289" spans="1:34" ht="15.75">
      <c r="A1289" s="29">
        <f t="shared" si="20"/>
        <v>1010</v>
      </c>
      <c r="B1289" s="15">
        <v>889</v>
      </c>
      <c r="C1289" s="15">
        <v>6</v>
      </c>
      <c r="D1289" s="2">
        <v>1817</v>
      </c>
      <c r="E1289">
        <v>5436</v>
      </c>
      <c r="F1289" s="15"/>
      <c r="G1289" s="15"/>
      <c r="H1289" s="15" t="s">
        <v>1541</v>
      </c>
      <c r="I1289" s="15">
        <v>1010</v>
      </c>
      <c r="J1289" s="15">
        <v>0</v>
      </c>
      <c r="K1289" s="15" t="s">
        <v>873</v>
      </c>
      <c r="L1289" s="43" t="s">
        <v>1386</v>
      </c>
      <c r="P1289" s="41">
        <v>7</v>
      </c>
      <c r="Q1289" s="41">
        <v>11</v>
      </c>
      <c r="R1289" s="41" t="s">
        <v>868</v>
      </c>
      <c r="S1289" s="15" t="s">
        <v>3329</v>
      </c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t="s">
        <v>359</v>
      </c>
    </row>
    <row r="1290" spans="1:34" ht="15.75">
      <c r="A1290" s="29">
        <f t="shared" si="20"/>
        <v>99</v>
      </c>
      <c r="B1290" s="15">
        <v>889</v>
      </c>
      <c r="C1290" s="15">
        <v>6</v>
      </c>
      <c r="D1290" s="2">
        <v>1817</v>
      </c>
      <c r="E1290">
        <v>5437</v>
      </c>
      <c r="F1290" s="15"/>
      <c r="G1290" s="15"/>
      <c r="H1290" s="15" t="s">
        <v>1540</v>
      </c>
      <c r="I1290" s="15">
        <v>99</v>
      </c>
      <c r="J1290" s="15">
        <v>0</v>
      </c>
      <c r="K1290" s="15" t="s">
        <v>873</v>
      </c>
      <c r="L1290" s="43" t="s">
        <v>3822</v>
      </c>
      <c r="P1290" s="41">
        <v>6</v>
      </c>
      <c r="Q1290" s="41">
        <v>9</v>
      </c>
      <c r="R1290" s="41">
        <v>66</v>
      </c>
      <c r="S1290" t="s">
        <v>3321</v>
      </c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t="s">
        <v>359</v>
      </c>
    </row>
    <row r="1291" spans="1:34" ht="15.75">
      <c r="A1291" s="29">
        <f t="shared" si="20"/>
        <v>6366</v>
      </c>
      <c r="B1291" s="15">
        <v>889</v>
      </c>
      <c r="C1291" s="15">
        <v>6</v>
      </c>
      <c r="D1291" s="2">
        <v>1817</v>
      </c>
      <c r="E1291">
        <v>5438</v>
      </c>
      <c r="F1291" s="15"/>
      <c r="G1291" s="15"/>
      <c r="H1291" s="15" t="s">
        <v>1541</v>
      </c>
      <c r="I1291" s="15">
        <v>6366</v>
      </c>
      <c r="J1291" s="15">
        <v>0</v>
      </c>
      <c r="K1291" s="15" t="s">
        <v>873</v>
      </c>
      <c r="L1291" s="43" t="s">
        <v>1388</v>
      </c>
      <c r="P1291" s="41">
        <v>12</v>
      </c>
      <c r="Q1291" s="41">
        <v>10</v>
      </c>
      <c r="R1291" s="41">
        <v>30</v>
      </c>
      <c r="S1291" t="s">
        <v>3321</v>
      </c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t="s">
        <v>359</v>
      </c>
    </row>
    <row r="1292" spans="1:34" ht="15.75">
      <c r="A1292" s="29">
        <f t="shared" si="20"/>
        <v>2532</v>
      </c>
      <c r="B1292" s="15">
        <v>889</v>
      </c>
      <c r="C1292" s="15">
        <v>6</v>
      </c>
      <c r="D1292" s="2">
        <v>1817</v>
      </c>
      <c r="E1292">
        <v>5439</v>
      </c>
      <c r="F1292" s="15"/>
      <c r="G1292" s="15"/>
      <c r="H1292" s="15" t="s">
        <v>1540</v>
      </c>
      <c r="I1292" s="15">
        <v>2532</v>
      </c>
      <c r="J1292" s="15">
        <v>0</v>
      </c>
      <c r="K1292" s="15" t="s">
        <v>873</v>
      </c>
      <c r="L1292" s="43" t="s">
        <v>1355</v>
      </c>
      <c r="P1292" s="41">
        <v>28</v>
      </c>
      <c r="Q1292" s="41">
        <v>8</v>
      </c>
      <c r="R1292" s="41" t="s">
        <v>868</v>
      </c>
      <c r="S1292" t="s">
        <v>3321</v>
      </c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t="s">
        <v>359</v>
      </c>
    </row>
    <row r="1293" spans="1:34" ht="15.75">
      <c r="A1293" s="29">
        <f t="shared" si="20"/>
        <v>61</v>
      </c>
      <c r="B1293" s="15">
        <v>889</v>
      </c>
      <c r="C1293" s="15">
        <v>6</v>
      </c>
      <c r="D1293" s="2">
        <v>1817</v>
      </c>
      <c r="E1293">
        <v>5440</v>
      </c>
      <c r="F1293" s="15"/>
      <c r="G1293" s="15"/>
      <c r="H1293" s="15" t="s">
        <v>1540</v>
      </c>
      <c r="I1293" s="15">
        <v>61</v>
      </c>
      <c r="J1293" s="15">
        <v>0</v>
      </c>
      <c r="K1293" s="15" t="s">
        <v>873</v>
      </c>
      <c r="L1293" s="43" t="s">
        <v>5769</v>
      </c>
      <c r="P1293" s="41">
        <v>19</v>
      </c>
      <c r="Q1293" s="41">
        <v>5</v>
      </c>
      <c r="R1293" s="41">
        <v>48</v>
      </c>
      <c r="S1293" t="s">
        <v>3321</v>
      </c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t="s">
        <v>359</v>
      </c>
    </row>
    <row r="1294" spans="1:34" ht="15.75">
      <c r="A1294" s="29">
        <f t="shared" si="20"/>
        <v>197</v>
      </c>
      <c r="B1294" s="15">
        <v>889</v>
      </c>
      <c r="C1294" s="15">
        <v>6</v>
      </c>
      <c r="D1294" s="2">
        <v>1817</v>
      </c>
      <c r="E1294">
        <v>5441</v>
      </c>
      <c r="F1294" s="15"/>
      <c r="G1294" s="15"/>
      <c r="H1294" s="15" t="s">
        <v>1541</v>
      </c>
      <c r="I1294" s="15">
        <v>197</v>
      </c>
      <c r="J1294" s="15">
        <v>0</v>
      </c>
      <c r="K1294" s="15" t="s">
        <v>873</v>
      </c>
      <c r="L1294" s="43" t="s">
        <v>1389</v>
      </c>
      <c r="P1294" s="41">
        <v>29</v>
      </c>
      <c r="Q1294" s="41">
        <v>4</v>
      </c>
      <c r="R1294" s="41" t="s">
        <v>868</v>
      </c>
      <c r="S1294" t="s">
        <v>3321</v>
      </c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t="s">
        <v>359</v>
      </c>
    </row>
    <row r="1295" spans="1:34" ht="15.75">
      <c r="A1295" s="29">
        <f t="shared" si="20"/>
        <v>11214</v>
      </c>
      <c r="B1295" s="18">
        <v>890</v>
      </c>
      <c r="C1295" s="18">
        <v>6</v>
      </c>
      <c r="D1295" s="2">
        <v>1817</v>
      </c>
      <c r="E1295">
        <v>5465</v>
      </c>
      <c r="F1295" s="18"/>
      <c r="G1295" s="18"/>
      <c r="H1295" s="18" t="s">
        <v>1541</v>
      </c>
      <c r="I1295" s="18">
        <v>11214</v>
      </c>
      <c r="J1295" s="18">
        <v>0</v>
      </c>
      <c r="K1295" s="18" t="s">
        <v>873</v>
      </c>
      <c r="L1295" s="43" t="s">
        <v>3823</v>
      </c>
      <c r="M1295" s="43" t="s">
        <v>1371</v>
      </c>
      <c r="N1295" s="43" t="s">
        <v>1545</v>
      </c>
      <c r="O1295" s="43" t="s">
        <v>3824</v>
      </c>
      <c r="P1295" s="43">
        <v>28</v>
      </c>
      <c r="Q1295" s="43">
        <v>10</v>
      </c>
      <c r="R1295" s="43">
        <v>61</v>
      </c>
      <c r="S1295" s="18" t="s">
        <v>3825</v>
      </c>
      <c r="T1295" s="18" t="s">
        <v>4855</v>
      </c>
      <c r="U1295" s="18"/>
      <c r="V1295" s="18" t="s">
        <v>3826</v>
      </c>
      <c r="W1295" s="18"/>
      <c r="X1295" s="18"/>
      <c r="Y1295" s="18"/>
      <c r="Z1295" s="18"/>
      <c r="AA1295" s="18" t="s">
        <v>1547</v>
      </c>
      <c r="AB1295" s="18" t="s">
        <v>1547</v>
      </c>
      <c r="AC1295" s="18"/>
      <c r="AD1295" s="18"/>
      <c r="AE1295" s="18"/>
      <c r="AF1295" s="18"/>
      <c r="AG1295" s="18"/>
      <c r="AH1295" t="s">
        <v>359</v>
      </c>
    </row>
    <row r="1296" spans="1:34" ht="15.75">
      <c r="A1296" s="29">
        <f t="shared" si="20"/>
        <v>34000</v>
      </c>
      <c r="B1296" s="15">
        <v>890</v>
      </c>
      <c r="C1296" s="15">
        <v>6</v>
      </c>
      <c r="D1296" s="2">
        <v>1817</v>
      </c>
      <c r="E1296">
        <v>5466</v>
      </c>
      <c r="F1296" s="15"/>
      <c r="G1296" s="15"/>
      <c r="H1296" s="15" t="s">
        <v>1549</v>
      </c>
      <c r="I1296" s="15">
        <v>0</v>
      </c>
      <c r="J1296" s="18">
        <v>1700</v>
      </c>
      <c r="K1296" s="15" t="s">
        <v>873</v>
      </c>
      <c r="L1296" s="43" t="s">
        <v>1353</v>
      </c>
      <c r="M1296" s="41" t="s">
        <v>3827</v>
      </c>
      <c r="N1296" s="41" t="s">
        <v>1481</v>
      </c>
      <c r="O1296" s="41" t="s">
        <v>3828</v>
      </c>
      <c r="P1296" s="41">
        <v>27</v>
      </c>
      <c r="Q1296" s="41">
        <v>11</v>
      </c>
      <c r="R1296" s="41" t="s">
        <v>1547</v>
      </c>
      <c r="S1296" s="15" t="s">
        <v>3800</v>
      </c>
      <c r="T1296" s="15" t="s">
        <v>3829</v>
      </c>
      <c r="U1296" s="15"/>
      <c r="V1296" s="15" t="s">
        <v>3830</v>
      </c>
      <c r="W1296" s="15"/>
      <c r="X1296" s="15">
        <v>1</v>
      </c>
      <c r="Y1296" s="15" t="s">
        <v>3831</v>
      </c>
      <c r="Z1296" s="15"/>
      <c r="AA1296" s="15"/>
      <c r="AB1296" s="15"/>
      <c r="AC1296" s="15"/>
      <c r="AD1296" s="15"/>
      <c r="AE1296" s="15"/>
      <c r="AF1296" s="15"/>
      <c r="AG1296" s="15"/>
      <c r="AH1296" t="s">
        <v>359</v>
      </c>
    </row>
    <row r="1297" spans="1:34" ht="15.75">
      <c r="A1297" s="29">
        <f t="shared" si="20"/>
        <v>31</v>
      </c>
      <c r="B1297" s="15">
        <v>891</v>
      </c>
      <c r="C1297" s="15">
        <v>6</v>
      </c>
      <c r="D1297" s="2">
        <v>1817</v>
      </c>
      <c r="E1297">
        <v>5489</v>
      </c>
      <c r="F1297" s="15"/>
      <c r="G1297" s="15"/>
      <c r="H1297" s="15" t="s">
        <v>1541</v>
      </c>
      <c r="I1297" s="15">
        <v>31</v>
      </c>
      <c r="J1297" s="15">
        <v>0</v>
      </c>
      <c r="K1297" s="15" t="s">
        <v>873</v>
      </c>
      <c r="L1297" s="43" t="s">
        <v>1356</v>
      </c>
      <c r="P1297" s="41">
        <v>23</v>
      </c>
      <c r="Q1297" s="41">
        <v>7</v>
      </c>
      <c r="R1297" s="41">
        <v>35</v>
      </c>
      <c r="S1297" s="15" t="s">
        <v>1547</v>
      </c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t="s">
        <v>359</v>
      </c>
    </row>
    <row r="1298" spans="1:34" ht="15.75">
      <c r="A1298" s="29">
        <f t="shared" si="20"/>
        <v>208</v>
      </c>
      <c r="B1298" s="15">
        <v>891</v>
      </c>
      <c r="C1298" s="15">
        <v>6</v>
      </c>
      <c r="D1298" s="2">
        <v>1817</v>
      </c>
      <c r="E1298">
        <v>5490</v>
      </c>
      <c r="F1298" s="15"/>
      <c r="G1298" s="15"/>
      <c r="H1298" s="15" t="s">
        <v>1540</v>
      </c>
      <c r="I1298" s="15">
        <v>208</v>
      </c>
      <c r="J1298" s="15">
        <v>0</v>
      </c>
      <c r="K1298" s="15" t="s">
        <v>873</v>
      </c>
      <c r="L1298" s="43" t="s">
        <v>1357</v>
      </c>
      <c r="P1298" s="41">
        <v>25</v>
      </c>
      <c r="Q1298" s="41">
        <v>11</v>
      </c>
      <c r="R1298" s="41">
        <v>51</v>
      </c>
      <c r="S1298" t="s">
        <v>3321</v>
      </c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t="s">
        <v>359</v>
      </c>
    </row>
    <row r="1299" spans="1:34" ht="15.75">
      <c r="A1299" s="29">
        <f t="shared" si="20"/>
        <v>400</v>
      </c>
      <c r="B1299" s="15">
        <v>891</v>
      </c>
      <c r="C1299" s="15">
        <v>6</v>
      </c>
      <c r="D1299" s="2">
        <v>1817</v>
      </c>
      <c r="E1299">
        <v>5491</v>
      </c>
      <c r="F1299" s="15"/>
      <c r="G1299" s="15"/>
      <c r="H1299" s="15" t="s">
        <v>1540</v>
      </c>
      <c r="I1299" s="15">
        <v>400</v>
      </c>
      <c r="J1299" s="15">
        <v>0</v>
      </c>
      <c r="K1299" s="15" t="s">
        <v>873</v>
      </c>
      <c r="L1299" s="43" t="s">
        <v>5770</v>
      </c>
      <c r="P1299" s="41">
        <v>21</v>
      </c>
      <c r="Q1299" s="41">
        <v>4</v>
      </c>
      <c r="R1299" s="41">
        <v>38</v>
      </c>
      <c r="S1299" t="s">
        <v>3321</v>
      </c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t="s">
        <v>359</v>
      </c>
    </row>
    <row r="1300" spans="1:34" ht="15.75">
      <c r="A1300" s="29">
        <f t="shared" si="20"/>
        <v>18569</v>
      </c>
      <c r="B1300" s="15">
        <v>891</v>
      </c>
      <c r="C1300" s="15">
        <v>6</v>
      </c>
      <c r="D1300" s="2">
        <v>1817</v>
      </c>
      <c r="E1300">
        <v>5492</v>
      </c>
      <c r="F1300" s="15"/>
      <c r="G1300" s="15"/>
      <c r="H1300" s="15" t="s">
        <v>1549</v>
      </c>
      <c r="I1300" s="15">
        <v>569</v>
      </c>
      <c r="J1300" s="15">
        <v>900</v>
      </c>
      <c r="K1300" s="15" t="s">
        <v>873</v>
      </c>
      <c r="L1300" s="43" t="s">
        <v>3837</v>
      </c>
      <c r="P1300" s="41">
        <v>7</v>
      </c>
      <c r="Q1300" s="41">
        <v>1</v>
      </c>
      <c r="R1300" s="41">
        <v>56</v>
      </c>
      <c r="S1300" t="s">
        <v>3321</v>
      </c>
      <c r="T1300" s="15"/>
      <c r="U1300" s="15"/>
      <c r="V1300" s="15"/>
      <c r="W1300" s="15"/>
      <c r="X1300" s="15">
        <v>1</v>
      </c>
      <c r="Y1300" s="15" t="s">
        <v>3838</v>
      </c>
      <c r="Z1300" s="15"/>
      <c r="AA1300" s="15"/>
      <c r="AB1300" s="15"/>
      <c r="AC1300" s="15"/>
      <c r="AD1300" s="15"/>
      <c r="AE1300" s="15"/>
      <c r="AF1300" s="15"/>
      <c r="AG1300" s="15"/>
      <c r="AH1300" t="s">
        <v>359</v>
      </c>
    </row>
    <row r="1301" spans="1:34" ht="15.75">
      <c r="A1301" s="29">
        <f t="shared" si="20"/>
        <v>99</v>
      </c>
      <c r="B1301" s="15">
        <v>892</v>
      </c>
      <c r="C1301" s="15">
        <v>6</v>
      </c>
      <c r="D1301" s="2">
        <v>1817</v>
      </c>
      <c r="E1301">
        <v>5548</v>
      </c>
      <c r="F1301" s="15"/>
      <c r="G1301" s="15"/>
      <c r="H1301" s="15" t="s">
        <v>1541</v>
      </c>
      <c r="I1301" s="15">
        <v>99</v>
      </c>
      <c r="J1301" s="15">
        <v>0</v>
      </c>
      <c r="K1301" s="15" t="s">
        <v>873</v>
      </c>
      <c r="L1301" s="43" t="s">
        <v>1354</v>
      </c>
      <c r="P1301" s="41">
        <v>25</v>
      </c>
      <c r="Q1301" s="41">
        <v>3</v>
      </c>
      <c r="R1301" s="41">
        <v>69</v>
      </c>
      <c r="S1301" s="15" t="s">
        <v>3329</v>
      </c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t="s">
        <v>359</v>
      </c>
    </row>
    <row r="1302" spans="1:34" ht="15.75">
      <c r="A1302" s="29">
        <f t="shared" si="20"/>
        <v>160</v>
      </c>
      <c r="B1302" s="15">
        <v>892</v>
      </c>
      <c r="C1302" s="15">
        <v>6</v>
      </c>
      <c r="D1302" s="2">
        <v>1817</v>
      </c>
      <c r="E1302">
        <v>5549</v>
      </c>
      <c r="F1302" s="15"/>
      <c r="G1302" s="15"/>
      <c r="H1302" s="15" t="s">
        <v>1541</v>
      </c>
      <c r="I1302" s="15">
        <v>160</v>
      </c>
      <c r="J1302" s="15">
        <v>0</v>
      </c>
      <c r="K1302" s="15" t="s">
        <v>873</v>
      </c>
      <c r="L1302" s="43" t="s">
        <v>3839</v>
      </c>
      <c r="P1302" s="41">
        <v>6</v>
      </c>
      <c r="Q1302" s="41">
        <v>5</v>
      </c>
      <c r="R1302" s="41">
        <v>77</v>
      </c>
      <c r="S1302" t="s">
        <v>3321</v>
      </c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t="s">
        <v>359</v>
      </c>
    </row>
    <row r="1303" spans="1:34" ht="15.75">
      <c r="A1303" s="29">
        <f t="shared" si="20"/>
        <v>200</v>
      </c>
      <c r="B1303" s="15">
        <v>893</v>
      </c>
      <c r="C1303" s="15">
        <v>6</v>
      </c>
      <c r="D1303" s="2">
        <v>1817</v>
      </c>
      <c r="E1303">
        <v>5565</v>
      </c>
      <c r="F1303" s="15"/>
      <c r="G1303" s="15"/>
      <c r="H1303" s="15" t="s">
        <v>1540</v>
      </c>
      <c r="I1303" s="15">
        <v>200</v>
      </c>
      <c r="J1303" s="15">
        <v>0</v>
      </c>
      <c r="K1303" s="15" t="s">
        <v>874</v>
      </c>
      <c r="L1303" s="43" t="s">
        <v>4248</v>
      </c>
      <c r="P1303" s="41">
        <v>18</v>
      </c>
      <c r="Q1303" s="41">
        <v>4</v>
      </c>
      <c r="R1303" s="41">
        <v>88</v>
      </c>
      <c r="S1303" s="15" t="s">
        <v>3343</v>
      </c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t="s">
        <v>359</v>
      </c>
    </row>
    <row r="1304" spans="1:34" ht="15.75">
      <c r="A1304" s="29">
        <f t="shared" si="20"/>
        <v>3129</v>
      </c>
      <c r="B1304" s="15">
        <v>893</v>
      </c>
      <c r="C1304" s="15">
        <v>6</v>
      </c>
      <c r="D1304" s="2">
        <v>1817</v>
      </c>
      <c r="E1304">
        <v>5566</v>
      </c>
      <c r="F1304" s="15"/>
      <c r="G1304" s="15"/>
      <c r="H1304" s="15" t="s">
        <v>1540</v>
      </c>
      <c r="I1304" s="15">
        <v>3129</v>
      </c>
      <c r="J1304" s="15">
        <v>0</v>
      </c>
      <c r="K1304" s="15" t="s">
        <v>874</v>
      </c>
      <c r="L1304" s="43" t="s">
        <v>3840</v>
      </c>
      <c r="P1304" s="41">
        <v>23</v>
      </c>
      <c r="Q1304" s="41">
        <v>1</v>
      </c>
      <c r="R1304" s="41" t="s">
        <v>868</v>
      </c>
      <c r="S1304" t="s">
        <v>3321</v>
      </c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t="s">
        <v>359</v>
      </c>
    </row>
    <row r="1305" spans="1:34" ht="15.75">
      <c r="A1305" s="29">
        <f t="shared" si="20"/>
        <v>125219</v>
      </c>
      <c r="B1305" s="15">
        <v>893</v>
      </c>
      <c r="C1305" s="15">
        <v>6</v>
      </c>
      <c r="D1305" s="2">
        <v>1817</v>
      </c>
      <c r="E1305">
        <v>5567</v>
      </c>
      <c r="F1305" s="15"/>
      <c r="G1305" s="15"/>
      <c r="H1305" s="15" t="s">
        <v>1541</v>
      </c>
      <c r="I1305" s="15">
        <v>125219</v>
      </c>
      <c r="J1305" s="15">
        <v>0</v>
      </c>
      <c r="K1305" s="15" t="s">
        <v>874</v>
      </c>
      <c r="L1305" s="43" t="s">
        <v>3841</v>
      </c>
      <c r="M1305" s="41" t="s">
        <v>3842</v>
      </c>
      <c r="O1305" s="41" t="s">
        <v>3843</v>
      </c>
      <c r="P1305" s="41">
        <v>26</v>
      </c>
      <c r="Q1305" s="41">
        <v>10</v>
      </c>
      <c r="R1305" s="41">
        <v>63</v>
      </c>
      <c r="S1305" s="15" t="s">
        <v>3844</v>
      </c>
      <c r="T1305" s="15" t="s">
        <v>1262</v>
      </c>
      <c r="U1305" s="15"/>
      <c r="V1305" s="15" t="s">
        <v>3845</v>
      </c>
      <c r="W1305" s="15"/>
      <c r="X1305" s="15"/>
      <c r="Y1305" s="15"/>
      <c r="Z1305" s="15"/>
      <c r="AA1305" s="15" t="s">
        <v>3846</v>
      </c>
      <c r="AB1305" s="15"/>
      <c r="AC1305" s="15" t="s">
        <v>3847</v>
      </c>
      <c r="AD1305" s="15"/>
      <c r="AE1305" s="15" t="s">
        <v>3848</v>
      </c>
      <c r="AF1305" s="15"/>
      <c r="AG1305" s="15"/>
      <c r="AH1305" t="s">
        <v>359</v>
      </c>
    </row>
    <row r="1306" spans="1:34" ht="15.75">
      <c r="A1306" s="29">
        <f t="shared" si="20"/>
        <v>60572</v>
      </c>
      <c r="B1306" s="15">
        <v>894</v>
      </c>
      <c r="C1306" s="15">
        <v>6</v>
      </c>
      <c r="D1306" s="2">
        <v>1817</v>
      </c>
      <c r="E1306">
        <v>5595</v>
      </c>
      <c r="F1306" s="15"/>
      <c r="G1306" s="15"/>
      <c r="H1306" s="15" t="s">
        <v>1540</v>
      </c>
      <c r="I1306" s="15">
        <v>54947</v>
      </c>
      <c r="J1306" s="15">
        <v>1125</v>
      </c>
      <c r="K1306" s="15" t="s">
        <v>874</v>
      </c>
      <c r="L1306" s="43" t="s">
        <v>3849</v>
      </c>
      <c r="M1306" s="41" t="s">
        <v>3850</v>
      </c>
      <c r="N1306" s="41" t="s">
        <v>3851</v>
      </c>
      <c r="O1306" s="41" t="s">
        <v>3852</v>
      </c>
      <c r="P1306" s="41">
        <v>18</v>
      </c>
      <c r="Q1306" s="41">
        <v>11</v>
      </c>
      <c r="R1306" s="41" t="s">
        <v>1547</v>
      </c>
      <c r="S1306" s="15" t="s">
        <v>1547</v>
      </c>
      <c r="T1306" s="15" t="s">
        <v>715</v>
      </c>
      <c r="U1306" s="15"/>
      <c r="V1306" s="15" t="s">
        <v>3853</v>
      </c>
      <c r="W1306" s="15"/>
      <c r="X1306" s="15">
        <v>0.25</v>
      </c>
      <c r="Y1306" s="15" t="s">
        <v>3854</v>
      </c>
      <c r="Z1306" s="15"/>
      <c r="AA1306" s="15" t="s">
        <v>3855</v>
      </c>
      <c r="AB1306" s="15"/>
      <c r="AC1306" s="15"/>
      <c r="AD1306" s="15"/>
      <c r="AE1306" s="15"/>
      <c r="AF1306" s="15"/>
      <c r="AG1306" s="15"/>
      <c r="AH1306" t="s">
        <v>359</v>
      </c>
    </row>
    <row r="1307" spans="1:34" ht="15.75">
      <c r="A1307" s="29">
        <f t="shared" si="20"/>
        <v>135</v>
      </c>
      <c r="B1307" s="15">
        <v>894</v>
      </c>
      <c r="C1307" s="15">
        <v>6</v>
      </c>
      <c r="D1307" s="2">
        <v>1817</v>
      </c>
      <c r="E1307">
        <v>5596</v>
      </c>
      <c r="F1307" s="15"/>
      <c r="G1307" s="15"/>
      <c r="H1307" s="15" t="s">
        <v>1541</v>
      </c>
      <c r="I1307" s="15">
        <v>135</v>
      </c>
      <c r="J1307" s="15">
        <v>0</v>
      </c>
      <c r="K1307" s="15" t="s">
        <v>874</v>
      </c>
      <c r="L1307" s="43" t="s">
        <v>1359</v>
      </c>
      <c r="P1307" s="41">
        <v>6</v>
      </c>
      <c r="Q1307" s="41">
        <v>9</v>
      </c>
      <c r="R1307" s="41">
        <v>68</v>
      </c>
      <c r="S1307" s="15" t="s">
        <v>1547</v>
      </c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t="s">
        <v>359</v>
      </c>
    </row>
    <row r="1308" spans="1:34" ht="15.75">
      <c r="A1308" s="29">
        <f t="shared" si="20"/>
        <v>78</v>
      </c>
      <c r="B1308" s="15">
        <v>894</v>
      </c>
      <c r="C1308" s="15">
        <v>6</v>
      </c>
      <c r="D1308" s="2">
        <v>1817</v>
      </c>
      <c r="E1308">
        <v>5598</v>
      </c>
      <c r="F1308" s="15"/>
      <c r="G1308" s="15"/>
      <c r="H1308" s="18" t="s">
        <v>1549</v>
      </c>
      <c r="I1308" s="15">
        <v>78</v>
      </c>
      <c r="J1308" s="15">
        <v>0</v>
      </c>
      <c r="K1308" s="15" t="s">
        <v>874</v>
      </c>
      <c r="L1308" s="43" t="s">
        <v>5799</v>
      </c>
      <c r="P1308" s="41">
        <v>29</v>
      </c>
      <c r="Q1308" s="41">
        <v>8</v>
      </c>
      <c r="R1308" s="41">
        <v>58</v>
      </c>
      <c r="S1308" t="s">
        <v>3321</v>
      </c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t="s">
        <v>359</v>
      </c>
    </row>
    <row r="1309" spans="1:34" ht="15.75">
      <c r="A1309" s="29">
        <f t="shared" si="20"/>
        <v>320</v>
      </c>
      <c r="B1309" s="15">
        <v>895</v>
      </c>
      <c r="C1309" s="15">
        <v>6</v>
      </c>
      <c r="D1309" s="2">
        <v>1817</v>
      </c>
      <c r="E1309">
        <v>5633</v>
      </c>
      <c r="F1309" s="15"/>
      <c r="G1309" s="15"/>
      <c r="H1309" s="15" t="s">
        <v>1540</v>
      </c>
      <c r="I1309" s="15">
        <v>320</v>
      </c>
      <c r="J1309" s="15">
        <v>0</v>
      </c>
      <c r="K1309" s="15" t="s">
        <v>874</v>
      </c>
      <c r="L1309" s="43" t="s">
        <v>5801</v>
      </c>
      <c r="P1309" s="41">
        <v>19</v>
      </c>
      <c r="Q1309" s="41">
        <v>9</v>
      </c>
      <c r="R1309" s="41">
        <v>35</v>
      </c>
      <c r="S1309" t="s">
        <v>3321</v>
      </c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t="s">
        <v>359</v>
      </c>
    </row>
    <row r="1310" spans="1:34" ht="15.75">
      <c r="A1310" s="29">
        <f t="shared" si="20"/>
        <v>18000</v>
      </c>
      <c r="B1310" s="18">
        <v>895</v>
      </c>
      <c r="C1310" s="15">
        <v>6</v>
      </c>
      <c r="D1310" s="2">
        <v>1817</v>
      </c>
      <c r="E1310">
        <v>5634</v>
      </c>
      <c r="F1310" s="18"/>
      <c r="G1310" s="18"/>
      <c r="H1310" s="18" t="s">
        <v>1540</v>
      </c>
      <c r="I1310" s="18">
        <v>0</v>
      </c>
      <c r="J1310" s="18">
        <v>900</v>
      </c>
      <c r="K1310" s="15" t="s">
        <v>874</v>
      </c>
      <c r="L1310" s="43" t="s">
        <v>3861</v>
      </c>
      <c r="M1310" s="41" t="s">
        <v>3862</v>
      </c>
      <c r="O1310" s="41" t="s">
        <v>3863</v>
      </c>
      <c r="P1310" s="41">
        <v>25</v>
      </c>
      <c r="Q1310" s="41">
        <v>2</v>
      </c>
      <c r="S1310" t="s">
        <v>3343</v>
      </c>
      <c r="T1310" s="15" t="s">
        <v>3864</v>
      </c>
      <c r="U1310" s="15"/>
      <c r="V1310" s="15" t="s">
        <v>3865</v>
      </c>
      <c r="W1310" s="15"/>
      <c r="X1310" s="15">
        <v>1</v>
      </c>
      <c r="Y1310" s="15" t="s">
        <v>3866</v>
      </c>
      <c r="Z1310" s="15"/>
      <c r="AA1310" s="15"/>
      <c r="AB1310" s="15"/>
      <c r="AC1310" s="15"/>
      <c r="AD1310" s="15"/>
      <c r="AE1310" s="15"/>
      <c r="AF1310" s="15"/>
      <c r="AG1310" s="15"/>
      <c r="AH1310" t="s">
        <v>359</v>
      </c>
    </row>
    <row r="1311" spans="1:34" ht="15.75">
      <c r="A1311" s="29">
        <f t="shared" si="20"/>
        <v>2619</v>
      </c>
      <c r="B1311" s="15">
        <v>895</v>
      </c>
      <c r="C1311" s="15">
        <v>6</v>
      </c>
      <c r="D1311" s="2">
        <v>1817</v>
      </c>
      <c r="E1311">
        <v>5635</v>
      </c>
      <c r="F1311" s="15"/>
      <c r="G1311" s="15"/>
      <c r="H1311" s="15" t="s">
        <v>1549</v>
      </c>
      <c r="I1311" s="15">
        <v>2619</v>
      </c>
      <c r="J1311" s="15">
        <v>0</v>
      </c>
      <c r="K1311" s="15" t="s">
        <v>874</v>
      </c>
      <c r="L1311" s="43" t="s">
        <v>5803</v>
      </c>
      <c r="P1311" s="41">
        <v>11</v>
      </c>
      <c r="Q1311" s="41">
        <v>1</v>
      </c>
      <c r="R1311" s="41">
        <v>70</v>
      </c>
      <c r="S1311" t="s">
        <v>3343</v>
      </c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t="s">
        <v>359</v>
      </c>
    </row>
    <row r="1312" spans="1:34" ht="15.75">
      <c r="A1312" s="29">
        <f t="shared" si="20"/>
        <v>101</v>
      </c>
      <c r="B1312" s="15">
        <v>895</v>
      </c>
      <c r="C1312" s="15">
        <v>6</v>
      </c>
      <c r="D1312" s="2">
        <v>1817</v>
      </c>
      <c r="E1312">
        <v>5636</v>
      </c>
      <c r="F1312" s="15"/>
      <c r="G1312" s="15"/>
      <c r="H1312" s="15" t="s">
        <v>1541</v>
      </c>
      <c r="I1312" s="15">
        <v>101</v>
      </c>
      <c r="J1312" s="15">
        <v>0</v>
      </c>
      <c r="K1312" s="15" t="s">
        <v>874</v>
      </c>
      <c r="L1312" s="43" t="s">
        <v>5803</v>
      </c>
      <c r="P1312" s="41">
        <v>16</v>
      </c>
      <c r="Q1312" s="41">
        <v>4</v>
      </c>
      <c r="R1312" s="41">
        <v>33</v>
      </c>
      <c r="S1312" t="s">
        <v>3321</v>
      </c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t="s">
        <v>359</v>
      </c>
    </row>
    <row r="1313" spans="1:34" ht="15.75">
      <c r="A1313" s="29">
        <f t="shared" si="20"/>
        <v>100024</v>
      </c>
      <c r="B1313" s="2">
        <v>629</v>
      </c>
      <c r="C1313" s="2">
        <v>9</v>
      </c>
      <c r="D1313" s="2">
        <v>1817</v>
      </c>
      <c r="E1313">
        <v>5667</v>
      </c>
      <c r="G1313" s="1"/>
      <c r="H1313" t="s">
        <v>1540</v>
      </c>
      <c r="I1313" s="2">
        <v>6024</v>
      </c>
      <c r="J1313" s="2">
        <v>4700</v>
      </c>
      <c r="K1313" s="2" t="s">
        <v>862</v>
      </c>
      <c r="L1313" s="43" t="s">
        <v>3867</v>
      </c>
      <c r="M1313" s="41" t="s">
        <v>3451</v>
      </c>
      <c r="N1313" s="41" t="s">
        <v>1555</v>
      </c>
      <c r="O1313" s="41" t="s">
        <v>3868</v>
      </c>
      <c r="P1313" s="41">
        <v>20</v>
      </c>
      <c r="Q1313" s="41">
        <v>9</v>
      </c>
      <c r="R1313" s="41">
        <v>64</v>
      </c>
      <c r="S1313" t="s">
        <v>3343</v>
      </c>
      <c r="T1313" t="s">
        <v>3869</v>
      </c>
      <c r="V1313" t="s">
        <v>3870</v>
      </c>
      <c r="X1313">
        <v>1</v>
      </c>
      <c r="Y1313" t="s">
        <v>3868</v>
      </c>
      <c r="AA1313" t="s">
        <v>3779</v>
      </c>
      <c r="AC1313" t="s">
        <v>3871</v>
      </c>
      <c r="AE1313" t="s">
        <v>3872</v>
      </c>
      <c r="AH1313" t="s">
        <v>359</v>
      </c>
    </row>
    <row r="1314" spans="1:34" ht="15.75">
      <c r="A1314" s="29">
        <f t="shared" si="20"/>
        <v>54369</v>
      </c>
      <c r="B1314" s="2">
        <v>629</v>
      </c>
      <c r="C1314" s="2">
        <v>9</v>
      </c>
      <c r="D1314" s="2">
        <v>1817</v>
      </c>
      <c r="E1314">
        <v>5668</v>
      </c>
      <c r="G1314" s="1"/>
      <c r="H1314" t="s">
        <v>1540</v>
      </c>
      <c r="I1314" s="2">
        <f>52369+2000</f>
        <v>54369</v>
      </c>
      <c r="J1314" s="2">
        <v>0</v>
      </c>
      <c r="K1314" s="2" t="s">
        <v>862</v>
      </c>
      <c r="L1314" s="43" t="s">
        <v>3873</v>
      </c>
      <c r="M1314" s="41" t="s">
        <v>3874</v>
      </c>
      <c r="N1314" s="41" t="s">
        <v>3875</v>
      </c>
      <c r="O1314" s="41" t="s">
        <v>3876</v>
      </c>
      <c r="P1314" s="41">
        <v>13</v>
      </c>
      <c r="Q1314" s="41">
        <v>12</v>
      </c>
      <c r="R1314" s="41" t="s">
        <v>1547</v>
      </c>
      <c r="S1314" t="s">
        <v>3343</v>
      </c>
      <c r="T1314" t="s">
        <v>3877</v>
      </c>
      <c r="V1314" t="s">
        <v>3878</v>
      </c>
      <c r="AA1314" t="s">
        <v>1278</v>
      </c>
      <c r="AH1314" t="s">
        <v>359</v>
      </c>
    </row>
    <row r="1315" spans="1:34" ht="15.75">
      <c r="A1315" s="29">
        <f t="shared" si="20"/>
        <v>18301</v>
      </c>
      <c r="B1315" s="2">
        <v>629</v>
      </c>
      <c r="C1315" s="2">
        <v>9</v>
      </c>
      <c r="D1315" s="2">
        <v>1817</v>
      </c>
      <c r="E1315">
        <v>5669</v>
      </c>
      <c r="G1315" s="1"/>
      <c r="H1315" t="s">
        <v>1541</v>
      </c>
      <c r="I1315" s="2">
        <f>600+1201</f>
        <v>1801</v>
      </c>
      <c r="J1315" s="2">
        <v>1650</v>
      </c>
      <c r="K1315" s="2" t="s">
        <v>862</v>
      </c>
      <c r="L1315" s="43" t="s">
        <v>3879</v>
      </c>
      <c r="M1315" s="41" t="s">
        <v>3881</v>
      </c>
      <c r="O1315" s="41" t="s">
        <v>3882</v>
      </c>
      <c r="P1315" s="41">
        <v>7</v>
      </c>
      <c r="Q1315" s="41">
        <v>5</v>
      </c>
      <c r="S1315" t="s">
        <v>3880</v>
      </c>
      <c r="T1315" t="s">
        <v>2974</v>
      </c>
      <c r="V1315" t="s">
        <v>2973</v>
      </c>
      <c r="X1315">
        <v>0.5</v>
      </c>
      <c r="Y1315" t="s">
        <v>3883</v>
      </c>
      <c r="AH1315" t="s">
        <v>359</v>
      </c>
    </row>
    <row r="1316" spans="1:34" ht="15.75">
      <c r="A1316" s="29">
        <f t="shared" si="20"/>
        <v>170396</v>
      </c>
      <c r="B1316" s="2">
        <v>629</v>
      </c>
      <c r="C1316" s="2">
        <v>9</v>
      </c>
      <c r="D1316" s="2">
        <v>1817</v>
      </c>
      <c r="E1316">
        <v>5670</v>
      </c>
      <c r="G1316" s="1"/>
      <c r="H1316" t="s">
        <v>1540</v>
      </c>
      <c r="I1316" s="2">
        <f>6816+300</f>
        <v>7116</v>
      </c>
      <c r="J1316" s="2">
        <f>13753+875+1700</f>
        <v>16328</v>
      </c>
      <c r="K1316" s="2" t="s">
        <v>862</v>
      </c>
      <c r="L1316" s="43" t="s">
        <v>3884</v>
      </c>
      <c r="M1316" s="41" t="s">
        <v>1546</v>
      </c>
      <c r="N1316" s="41" t="s">
        <v>1555</v>
      </c>
      <c r="O1316" s="41" t="s">
        <v>3886</v>
      </c>
      <c r="P1316" s="41">
        <v>5</v>
      </c>
      <c r="Q1316" s="41">
        <v>12</v>
      </c>
      <c r="R1316" s="41">
        <v>54</v>
      </c>
      <c r="S1316" t="s">
        <v>3885</v>
      </c>
      <c r="T1316" t="s">
        <v>3887</v>
      </c>
      <c r="V1316" t="s">
        <v>3888</v>
      </c>
      <c r="X1316">
        <v>0.5</v>
      </c>
      <c r="Y1316" t="s">
        <v>3889</v>
      </c>
      <c r="AA1316" t="s">
        <v>3890</v>
      </c>
      <c r="AH1316" t="s">
        <v>359</v>
      </c>
    </row>
    <row r="1317" spans="1:34" ht="15.75">
      <c r="A1317" s="29">
        <f t="shared" si="20"/>
        <v>7013</v>
      </c>
      <c r="B1317" s="2">
        <v>629</v>
      </c>
      <c r="C1317" s="2">
        <v>9</v>
      </c>
      <c r="D1317" s="2">
        <v>1817</v>
      </c>
      <c r="E1317">
        <v>5671</v>
      </c>
      <c r="G1317" s="1"/>
      <c r="H1317" t="s">
        <v>850</v>
      </c>
      <c r="I1317" s="2">
        <f>2013</f>
        <v>2013</v>
      </c>
      <c r="J1317" s="2">
        <v>500</v>
      </c>
      <c r="K1317" s="2" t="s">
        <v>862</v>
      </c>
      <c r="L1317" s="43" t="s">
        <v>975</v>
      </c>
      <c r="P1317" s="41">
        <v>13</v>
      </c>
      <c r="Q1317" s="41">
        <v>8</v>
      </c>
      <c r="R1317" s="41" t="s">
        <v>1547</v>
      </c>
      <c r="S1317" t="s">
        <v>3321</v>
      </c>
      <c r="X1317">
        <v>0.5</v>
      </c>
      <c r="Y1317" t="s">
        <v>3891</v>
      </c>
      <c r="AA1317" t="s">
        <v>3445</v>
      </c>
      <c r="AH1317" t="s">
        <v>359</v>
      </c>
    </row>
    <row r="1318" spans="1:34" ht="15.75">
      <c r="A1318" s="29">
        <f t="shared" si="20"/>
        <v>0</v>
      </c>
      <c r="B1318" s="2">
        <v>629</v>
      </c>
      <c r="C1318" s="2">
        <v>9</v>
      </c>
      <c r="D1318" s="2">
        <v>1817</v>
      </c>
      <c r="E1318">
        <v>5672</v>
      </c>
      <c r="G1318" s="1"/>
      <c r="H1318" t="s">
        <v>1549</v>
      </c>
      <c r="I1318" s="2">
        <v>0</v>
      </c>
      <c r="J1318" s="2">
        <v>0</v>
      </c>
      <c r="K1318" s="2" t="s">
        <v>862</v>
      </c>
      <c r="L1318" s="43" t="s">
        <v>3892</v>
      </c>
      <c r="P1318" s="41">
        <v>21</v>
      </c>
      <c r="Q1318" s="41">
        <v>1</v>
      </c>
      <c r="R1318" s="41">
        <v>44</v>
      </c>
      <c r="S1318" t="s">
        <v>3321</v>
      </c>
      <c r="AA1318" t="s">
        <v>3438</v>
      </c>
      <c r="AH1318" t="s">
        <v>359</v>
      </c>
    </row>
    <row r="1319" spans="1:34" ht="15.75">
      <c r="A1319" s="29">
        <f t="shared" si="20"/>
        <v>1800</v>
      </c>
      <c r="B1319" s="2">
        <v>629</v>
      </c>
      <c r="C1319" s="2">
        <v>9</v>
      </c>
      <c r="D1319" s="2">
        <v>1817</v>
      </c>
      <c r="E1319">
        <v>5673</v>
      </c>
      <c r="G1319" s="1"/>
      <c r="H1319" t="s">
        <v>1549</v>
      </c>
      <c r="I1319" s="2">
        <v>1800</v>
      </c>
      <c r="J1319" s="2">
        <v>0</v>
      </c>
      <c r="K1319" s="2" t="s">
        <v>862</v>
      </c>
      <c r="L1319" s="43" t="s">
        <v>3893</v>
      </c>
      <c r="P1319" s="41">
        <v>12</v>
      </c>
      <c r="Q1319" s="41">
        <v>9</v>
      </c>
      <c r="R1319" s="41" t="s">
        <v>1547</v>
      </c>
      <c r="S1319" t="s">
        <v>3321</v>
      </c>
      <c r="AH1319" t="s">
        <v>359</v>
      </c>
    </row>
    <row r="1320" spans="1:34" ht="15.75">
      <c r="A1320" s="29">
        <f t="shared" si="20"/>
        <v>240</v>
      </c>
      <c r="B1320" s="2">
        <v>407</v>
      </c>
      <c r="C1320" s="2">
        <v>9</v>
      </c>
      <c r="D1320" s="2">
        <v>1817</v>
      </c>
      <c r="E1320">
        <v>5674</v>
      </c>
      <c r="G1320" s="1"/>
      <c r="H1320" t="s">
        <v>1540</v>
      </c>
      <c r="I1320" s="2">
        <v>240</v>
      </c>
      <c r="J1320" s="2"/>
      <c r="K1320" s="2" t="s">
        <v>862</v>
      </c>
      <c r="L1320" s="43" t="s">
        <v>980</v>
      </c>
      <c r="P1320" s="41">
        <v>10</v>
      </c>
      <c r="Q1320" s="41">
        <v>1</v>
      </c>
      <c r="R1320" s="41" t="s">
        <v>1547</v>
      </c>
      <c r="S1320" t="s">
        <v>3343</v>
      </c>
      <c r="V1320" t="s">
        <v>3894</v>
      </c>
      <c r="AH1320" t="s">
        <v>359</v>
      </c>
    </row>
    <row r="1321" spans="1:34" ht="15.75">
      <c r="A1321" s="29">
        <f t="shared" si="20"/>
        <v>6570</v>
      </c>
      <c r="B1321" s="2">
        <v>630</v>
      </c>
      <c r="C1321" s="2">
        <v>9</v>
      </c>
      <c r="D1321" s="2">
        <v>1817</v>
      </c>
      <c r="E1321">
        <v>5682</v>
      </c>
      <c r="G1321" s="1"/>
      <c r="H1321" t="s">
        <v>1541</v>
      </c>
      <c r="I1321" s="2">
        <v>6570</v>
      </c>
      <c r="J1321" s="2">
        <v>0</v>
      </c>
      <c r="K1321" s="2" t="s">
        <v>862</v>
      </c>
      <c r="L1321" s="43" t="s">
        <v>3895</v>
      </c>
      <c r="P1321" s="41">
        <v>15</v>
      </c>
      <c r="Q1321" s="41">
        <v>11</v>
      </c>
      <c r="R1321" s="41">
        <v>50</v>
      </c>
      <c r="S1321" t="s">
        <v>3321</v>
      </c>
      <c r="AH1321" t="s">
        <v>359</v>
      </c>
    </row>
    <row r="1322" spans="1:34" ht="15.75">
      <c r="A1322" s="29">
        <f t="shared" si="20"/>
        <v>81</v>
      </c>
      <c r="B1322" s="2">
        <v>630</v>
      </c>
      <c r="C1322" s="2">
        <v>9</v>
      </c>
      <c r="D1322" s="2">
        <v>1817</v>
      </c>
      <c r="E1322">
        <v>5683</v>
      </c>
      <c r="G1322" s="1"/>
      <c r="H1322" t="s">
        <v>1540</v>
      </c>
      <c r="I1322" s="2">
        <v>81</v>
      </c>
      <c r="J1322" s="2">
        <v>0</v>
      </c>
      <c r="K1322" s="2" t="s">
        <v>862</v>
      </c>
      <c r="L1322" s="43" t="s">
        <v>3896</v>
      </c>
      <c r="P1322" s="41">
        <v>25</v>
      </c>
      <c r="Q1322" s="41">
        <v>4</v>
      </c>
      <c r="R1322" s="41">
        <v>60</v>
      </c>
      <c r="S1322" t="s">
        <v>3321</v>
      </c>
      <c r="AH1322" t="s">
        <v>359</v>
      </c>
    </row>
    <row r="1323" spans="1:34" ht="15.75">
      <c r="A1323" s="29">
        <f t="shared" si="20"/>
        <v>7148</v>
      </c>
      <c r="B1323" s="2">
        <v>630</v>
      </c>
      <c r="C1323" s="2">
        <v>9</v>
      </c>
      <c r="D1323" s="2">
        <v>1817</v>
      </c>
      <c r="E1323">
        <v>5684</v>
      </c>
      <c r="G1323" s="1"/>
      <c r="H1323" t="s">
        <v>1540</v>
      </c>
      <c r="I1323" s="2">
        <f>2816+4332</f>
        <v>7148</v>
      </c>
      <c r="J1323" s="2">
        <v>0</v>
      </c>
      <c r="K1323" s="2" t="s">
        <v>862</v>
      </c>
      <c r="L1323" s="43" t="s">
        <v>980</v>
      </c>
      <c r="P1323" s="41">
        <v>8</v>
      </c>
      <c r="Q1323" s="41">
        <v>12</v>
      </c>
      <c r="R1323" s="41">
        <v>55</v>
      </c>
      <c r="S1323" t="s">
        <v>3321</v>
      </c>
      <c r="AH1323" t="s">
        <v>359</v>
      </c>
    </row>
    <row r="1324" spans="1:34" ht="15.75">
      <c r="A1324" s="29">
        <f t="shared" si="20"/>
        <v>95</v>
      </c>
      <c r="B1324" s="2">
        <v>630</v>
      </c>
      <c r="C1324" s="2">
        <v>9</v>
      </c>
      <c r="D1324" s="2">
        <v>1817</v>
      </c>
      <c r="E1324">
        <v>5685</v>
      </c>
      <c r="G1324" s="1"/>
      <c r="H1324" t="s">
        <v>850</v>
      </c>
      <c r="I1324" s="2">
        <v>95</v>
      </c>
      <c r="J1324" s="2">
        <v>0</v>
      </c>
      <c r="K1324" s="2" t="s">
        <v>862</v>
      </c>
      <c r="L1324" s="43" t="s">
        <v>980</v>
      </c>
      <c r="P1324" s="41">
        <v>22</v>
      </c>
      <c r="Q1324" s="41">
        <v>10</v>
      </c>
      <c r="R1324" s="41">
        <v>70</v>
      </c>
      <c r="S1324" t="s">
        <v>3329</v>
      </c>
      <c r="AH1324" t="s">
        <v>359</v>
      </c>
    </row>
    <row r="1325" spans="1:34" ht="15.75">
      <c r="A1325" s="29">
        <f t="shared" si="20"/>
        <v>7935</v>
      </c>
      <c r="B1325" s="2">
        <v>631</v>
      </c>
      <c r="C1325" s="2">
        <v>9</v>
      </c>
      <c r="D1325" s="2">
        <v>1817</v>
      </c>
      <c r="E1325">
        <v>5701</v>
      </c>
      <c r="G1325" s="1"/>
      <c r="H1325" t="s">
        <v>1540</v>
      </c>
      <c r="I1325" s="2">
        <v>7935</v>
      </c>
      <c r="J1325" s="2">
        <v>0</v>
      </c>
      <c r="K1325" s="2" t="s">
        <v>862</v>
      </c>
      <c r="L1325" s="43" t="s">
        <v>981</v>
      </c>
      <c r="P1325" s="41">
        <v>8</v>
      </c>
      <c r="Q1325" s="41">
        <v>7</v>
      </c>
      <c r="R1325" s="41">
        <v>48</v>
      </c>
      <c r="S1325" t="s">
        <v>3321</v>
      </c>
      <c r="AH1325" t="s">
        <v>359</v>
      </c>
    </row>
    <row r="1326" spans="1:34" ht="15.75">
      <c r="A1326" s="29">
        <f t="shared" si="20"/>
        <v>43</v>
      </c>
      <c r="B1326" s="2">
        <v>631</v>
      </c>
      <c r="C1326" s="2">
        <v>9</v>
      </c>
      <c r="D1326" s="2">
        <v>1817</v>
      </c>
      <c r="E1326">
        <v>5702</v>
      </c>
      <c r="G1326" s="1"/>
      <c r="H1326" t="s">
        <v>1540</v>
      </c>
      <c r="I1326" s="2">
        <v>43</v>
      </c>
      <c r="J1326" s="2">
        <v>0</v>
      </c>
      <c r="K1326" s="2" t="s">
        <v>863</v>
      </c>
      <c r="L1326" s="43" t="s">
        <v>982</v>
      </c>
      <c r="P1326" s="41">
        <v>15</v>
      </c>
      <c r="Q1326" s="41">
        <v>5</v>
      </c>
      <c r="R1326" s="41">
        <v>40</v>
      </c>
      <c r="S1326" t="s">
        <v>3321</v>
      </c>
      <c r="U1326" t="s">
        <v>3897</v>
      </c>
      <c r="AH1326" t="s">
        <v>359</v>
      </c>
    </row>
    <row r="1327" spans="1:34" ht="15.75">
      <c r="A1327" s="29">
        <f t="shared" si="20"/>
        <v>600</v>
      </c>
      <c r="B1327" s="2">
        <v>631</v>
      </c>
      <c r="C1327" s="2">
        <v>9</v>
      </c>
      <c r="D1327" s="2">
        <v>1817</v>
      </c>
      <c r="E1327">
        <v>5704</v>
      </c>
      <c r="G1327" s="1"/>
      <c r="H1327" t="s">
        <v>1541</v>
      </c>
      <c r="I1327" s="2">
        <v>600</v>
      </c>
      <c r="J1327" s="2">
        <v>0</v>
      </c>
      <c r="K1327" s="2" t="s">
        <v>863</v>
      </c>
      <c r="L1327" s="43" t="s">
        <v>3903</v>
      </c>
      <c r="P1327" s="41">
        <v>21</v>
      </c>
      <c r="Q1327" s="41">
        <v>5</v>
      </c>
      <c r="R1327" s="41" t="s">
        <v>1547</v>
      </c>
      <c r="S1327" t="s">
        <v>3321</v>
      </c>
      <c r="AH1327" t="s">
        <v>359</v>
      </c>
    </row>
    <row r="1328" spans="1:34" ht="15.75">
      <c r="A1328" s="29">
        <f t="shared" si="20"/>
        <v>20</v>
      </c>
      <c r="B1328" s="2">
        <v>631</v>
      </c>
      <c r="C1328" s="2">
        <v>9</v>
      </c>
      <c r="D1328" s="2">
        <v>1817</v>
      </c>
      <c r="E1328">
        <v>5705</v>
      </c>
      <c r="G1328" s="1"/>
      <c r="H1328" t="s">
        <v>1540</v>
      </c>
      <c r="I1328" s="2">
        <v>20</v>
      </c>
      <c r="J1328" s="2">
        <v>0</v>
      </c>
      <c r="K1328" s="2" t="s">
        <v>863</v>
      </c>
      <c r="L1328" s="43" t="s">
        <v>3904</v>
      </c>
      <c r="P1328" s="41">
        <v>7</v>
      </c>
      <c r="Q1328" s="41">
        <v>8</v>
      </c>
      <c r="R1328" s="41">
        <v>71</v>
      </c>
      <c r="S1328" t="s">
        <v>3324</v>
      </c>
      <c r="AH1328" t="s">
        <v>359</v>
      </c>
    </row>
    <row r="1329" spans="1:34" ht="15.75">
      <c r="A1329" s="29">
        <f t="shared" si="20"/>
        <v>100</v>
      </c>
      <c r="B1329" s="2">
        <v>631</v>
      </c>
      <c r="C1329" s="2">
        <v>9</v>
      </c>
      <c r="D1329" s="2">
        <v>1817</v>
      </c>
      <c r="E1329">
        <v>5706</v>
      </c>
      <c r="G1329" s="1"/>
      <c r="H1329" t="s">
        <v>1541</v>
      </c>
      <c r="I1329" s="2">
        <v>100</v>
      </c>
      <c r="J1329" s="2">
        <v>0</v>
      </c>
      <c r="K1329" s="2" t="s">
        <v>863</v>
      </c>
      <c r="L1329" s="43" t="s">
        <v>922</v>
      </c>
      <c r="P1329" s="41">
        <v>2</v>
      </c>
      <c r="Q1329" s="41">
        <v>9</v>
      </c>
      <c r="R1329" s="41">
        <v>51</v>
      </c>
      <c r="S1329" t="s">
        <v>3329</v>
      </c>
      <c r="AH1329" t="s">
        <v>359</v>
      </c>
    </row>
    <row r="1330" spans="1:34" ht="15.75">
      <c r="A1330" s="29">
        <f t="shared" si="20"/>
        <v>66</v>
      </c>
      <c r="B1330" s="2">
        <v>631</v>
      </c>
      <c r="C1330" s="2">
        <v>9</v>
      </c>
      <c r="D1330" s="2">
        <v>1817</v>
      </c>
      <c r="E1330">
        <v>5707</v>
      </c>
      <c r="G1330" s="1"/>
      <c r="H1330" t="s">
        <v>1540</v>
      </c>
      <c r="I1330" s="2">
        <v>66</v>
      </c>
      <c r="J1330" s="2">
        <v>0</v>
      </c>
      <c r="K1330" s="2" t="s">
        <v>863</v>
      </c>
      <c r="L1330" s="43" t="s">
        <v>922</v>
      </c>
      <c r="P1330" s="41">
        <v>9</v>
      </c>
      <c r="Q1330" s="41">
        <v>11</v>
      </c>
      <c r="R1330" s="41">
        <v>66</v>
      </c>
      <c r="S1330" t="s">
        <v>3321</v>
      </c>
      <c r="AH1330" t="s">
        <v>359</v>
      </c>
    </row>
    <row r="1331" spans="1:34" ht="15.75">
      <c r="A1331" s="29">
        <f t="shared" si="20"/>
        <v>0</v>
      </c>
      <c r="B1331" s="2">
        <v>631</v>
      </c>
      <c r="C1331" s="2">
        <v>9</v>
      </c>
      <c r="D1331" s="2">
        <v>1817</v>
      </c>
      <c r="E1331">
        <v>5708</v>
      </c>
      <c r="G1331" s="1"/>
      <c r="H1331" t="s">
        <v>850</v>
      </c>
      <c r="I1331" s="2">
        <v>0</v>
      </c>
      <c r="J1331" s="2">
        <v>0</v>
      </c>
      <c r="K1331" s="2" t="s">
        <v>863</v>
      </c>
      <c r="L1331" s="43" t="s">
        <v>1363</v>
      </c>
      <c r="P1331" s="41">
        <v>25</v>
      </c>
      <c r="Q1331" s="41">
        <v>4</v>
      </c>
      <c r="R1331" s="41">
        <v>46</v>
      </c>
      <c r="S1331" t="s">
        <v>3321</v>
      </c>
      <c r="V1331" t="s">
        <v>3905</v>
      </c>
      <c r="AH1331" t="s">
        <v>359</v>
      </c>
    </row>
    <row r="1332" spans="1:34" ht="15.75">
      <c r="A1332" s="29">
        <f t="shared" si="20"/>
        <v>300</v>
      </c>
      <c r="B1332" s="2">
        <v>632</v>
      </c>
      <c r="C1332" s="2">
        <v>9</v>
      </c>
      <c r="D1332" s="2">
        <v>1817</v>
      </c>
      <c r="E1332">
        <v>5727</v>
      </c>
      <c r="G1332" s="1"/>
      <c r="H1332" t="s">
        <v>1541</v>
      </c>
      <c r="I1332" s="2">
        <v>300</v>
      </c>
      <c r="J1332" s="2">
        <v>0</v>
      </c>
      <c r="K1332" s="2" t="s">
        <v>863</v>
      </c>
      <c r="L1332" s="43" t="s">
        <v>1373</v>
      </c>
      <c r="N1332" s="41" t="s">
        <v>5298</v>
      </c>
      <c r="P1332" s="41">
        <v>0</v>
      </c>
      <c r="Q1332" s="41">
        <v>3</v>
      </c>
      <c r="R1332" s="41">
        <v>1</v>
      </c>
      <c r="S1332" t="s">
        <v>3343</v>
      </c>
      <c r="AH1332" t="s">
        <v>359</v>
      </c>
    </row>
    <row r="1333" spans="1:34" ht="15.75">
      <c r="A1333" s="29">
        <f t="shared" si="20"/>
        <v>17067</v>
      </c>
      <c r="B1333" s="8">
        <v>632</v>
      </c>
      <c r="C1333" s="8">
        <v>9</v>
      </c>
      <c r="D1333" s="2">
        <v>1817</v>
      </c>
      <c r="E1333">
        <v>5728</v>
      </c>
      <c r="F1333" s="9"/>
      <c r="G1333" s="7"/>
      <c r="H1333" s="9" t="s">
        <v>1541</v>
      </c>
      <c r="I1333" s="8">
        <v>2687</v>
      </c>
      <c r="J1333" s="8">
        <v>719</v>
      </c>
      <c r="K1333" s="2" t="s">
        <v>863</v>
      </c>
      <c r="L1333" s="43" t="s">
        <v>3906</v>
      </c>
      <c r="M1333" s="41" t="s">
        <v>3908</v>
      </c>
      <c r="O1333" s="41" t="s">
        <v>3909</v>
      </c>
      <c r="P1333" s="41">
        <v>30</v>
      </c>
      <c r="Q1333" s="41">
        <v>4</v>
      </c>
      <c r="R1333" s="41">
        <v>85</v>
      </c>
      <c r="S1333" t="s">
        <v>3907</v>
      </c>
      <c r="T1333" t="s">
        <v>3910</v>
      </c>
      <c r="V1333" t="s">
        <v>3911</v>
      </c>
      <c r="X1333">
        <v>1</v>
      </c>
      <c r="Y1333" t="s">
        <v>3912</v>
      </c>
      <c r="AH1333" t="s">
        <v>359</v>
      </c>
    </row>
    <row r="1334" spans="1:34" ht="15.75">
      <c r="A1334" s="29">
        <f t="shared" si="20"/>
        <v>60315</v>
      </c>
      <c r="B1334" s="2">
        <v>632</v>
      </c>
      <c r="C1334" s="2">
        <v>9</v>
      </c>
      <c r="D1334" s="2">
        <v>1817</v>
      </c>
      <c r="E1334">
        <v>5729</v>
      </c>
      <c r="G1334" s="1"/>
      <c r="H1334" t="s">
        <v>1540</v>
      </c>
      <c r="I1334" s="2">
        <v>53550</v>
      </c>
      <c r="J1334" s="2">
        <v>1025</v>
      </c>
      <c r="K1334" s="2" t="s">
        <v>863</v>
      </c>
      <c r="L1334" s="43" t="s">
        <v>3913</v>
      </c>
      <c r="M1334" s="41" t="s">
        <v>3914</v>
      </c>
      <c r="N1334" s="41" t="s">
        <v>1555</v>
      </c>
      <c r="O1334" s="41" t="s">
        <v>3915</v>
      </c>
      <c r="P1334" s="41">
        <v>13</v>
      </c>
      <c r="Q1334" s="41">
        <v>6</v>
      </c>
      <c r="R1334" s="41">
        <v>81</v>
      </c>
      <c r="S1334" t="s">
        <v>3343</v>
      </c>
      <c r="T1334" t="s">
        <v>3916</v>
      </c>
      <c r="V1334" t="s">
        <v>3445</v>
      </c>
      <c r="X1334">
        <v>0.33</v>
      </c>
      <c r="Y1334" t="s">
        <v>3917</v>
      </c>
      <c r="AH1334" t="s">
        <v>359</v>
      </c>
    </row>
    <row r="1335" spans="1:34" ht="15.75">
      <c r="A1335" s="29">
        <f t="shared" si="20"/>
        <v>45</v>
      </c>
      <c r="B1335" s="2">
        <v>632</v>
      </c>
      <c r="C1335" s="2">
        <v>9</v>
      </c>
      <c r="D1335" s="2">
        <v>1817</v>
      </c>
      <c r="E1335">
        <v>5730</v>
      </c>
      <c r="G1335" s="1"/>
      <c r="H1335" t="s">
        <v>1540</v>
      </c>
      <c r="I1335" s="2">
        <v>45</v>
      </c>
      <c r="J1335" s="2">
        <v>0</v>
      </c>
      <c r="K1335" s="2" t="s">
        <v>863</v>
      </c>
      <c r="L1335" s="43" t="s">
        <v>984</v>
      </c>
      <c r="P1335" s="41">
        <v>8</v>
      </c>
      <c r="Q1335" s="41">
        <v>5</v>
      </c>
      <c r="R1335" s="41">
        <v>47</v>
      </c>
      <c r="S1335" t="s">
        <v>3321</v>
      </c>
      <c r="AH1335" t="s">
        <v>359</v>
      </c>
    </row>
    <row r="1336" spans="1:34" ht="15.75">
      <c r="A1336" s="29">
        <f t="shared" si="20"/>
        <v>525</v>
      </c>
      <c r="B1336" s="2">
        <v>632</v>
      </c>
      <c r="C1336" s="2">
        <v>9</v>
      </c>
      <c r="D1336" s="2">
        <v>1817</v>
      </c>
      <c r="E1336">
        <v>5731</v>
      </c>
      <c r="G1336" s="1"/>
      <c r="H1336" t="s">
        <v>1540</v>
      </c>
      <c r="I1336" s="2">
        <v>525</v>
      </c>
      <c r="J1336" s="2">
        <v>0</v>
      </c>
      <c r="K1336" s="2" t="s">
        <v>863</v>
      </c>
      <c r="L1336" s="43" t="s">
        <v>986</v>
      </c>
      <c r="P1336" s="41">
        <v>3</v>
      </c>
      <c r="Q1336" s="41">
        <v>5</v>
      </c>
      <c r="R1336" s="41">
        <v>20</v>
      </c>
      <c r="S1336" t="s">
        <v>3343</v>
      </c>
      <c r="AH1336" t="s">
        <v>359</v>
      </c>
    </row>
    <row r="1337" spans="1:34" ht="15.75">
      <c r="A1337" s="29">
        <f t="shared" si="20"/>
        <v>14498</v>
      </c>
      <c r="B1337" s="2">
        <v>632</v>
      </c>
      <c r="C1337" s="2">
        <v>9</v>
      </c>
      <c r="D1337" s="2">
        <v>1817</v>
      </c>
      <c r="E1337">
        <v>5732</v>
      </c>
      <c r="G1337" s="1"/>
      <c r="H1337" t="s">
        <v>1540</v>
      </c>
      <c r="I1337" s="2">
        <v>498</v>
      </c>
      <c r="J1337" s="2">
        <v>700</v>
      </c>
      <c r="K1337" s="2" t="s">
        <v>863</v>
      </c>
      <c r="L1337" s="43" t="s">
        <v>3918</v>
      </c>
      <c r="M1337" s="41" t="s">
        <v>3919</v>
      </c>
      <c r="N1337" s="41" t="s">
        <v>3920</v>
      </c>
      <c r="O1337" s="41" t="s">
        <v>3921</v>
      </c>
      <c r="P1337" s="41">
        <v>9</v>
      </c>
      <c r="Q1337" s="41">
        <v>5</v>
      </c>
      <c r="R1337" s="41">
        <v>70</v>
      </c>
      <c r="S1337" t="s">
        <v>1266</v>
      </c>
      <c r="T1337" t="s">
        <v>4649</v>
      </c>
      <c r="V1337" t="s">
        <v>3922</v>
      </c>
      <c r="X1337">
        <v>1</v>
      </c>
      <c r="Y1337" t="s">
        <v>3923</v>
      </c>
      <c r="AH1337" t="s">
        <v>359</v>
      </c>
    </row>
    <row r="1338" spans="1:34" ht="15.75">
      <c r="A1338" s="29">
        <f t="shared" si="20"/>
        <v>117</v>
      </c>
      <c r="B1338" s="2">
        <v>632</v>
      </c>
      <c r="C1338" s="2">
        <v>9</v>
      </c>
      <c r="D1338" s="2">
        <v>1817</v>
      </c>
      <c r="E1338">
        <v>5733</v>
      </c>
      <c r="G1338" s="1"/>
      <c r="H1338" t="s">
        <v>1541</v>
      </c>
      <c r="I1338" s="2">
        <v>117</v>
      </c>
      <c r="J1338" s="2">
        <v>0</v>
      </c>
      <c r="K1338" s="2" t="s">
        <v>863</v>
      </c>
      <c r="L1338" s="43" t="s">
        <v>986</v>
      </c>
      <c r="P1338" s="41">
        <v>1</v>
      </c>
      <c r="Q1338" s="41">
        <v>6</v>
      </c>
      <c r="R1338" s="41">
        <v>36</v>
      </c>
      <c r="S1338" t="s">
        <v>3321</v>
      </c>
      <c r="AH1338" t="s">
        <v>359</v>
      </c>
    </row>
    <row r="1339" spans="1:34" ht="15.75">
      <c r="A1339" s="29">
        <f t="shared" si="20"/>
        <v>2115</v>
      </c>
      <c r="B1339" s="2">
        <v>632</v>
      </c>
      <c r="C1339" s="2">
        <v>9</v>
      </c>
      <c r="D1339" s="2">
        <v>1817</v>
      </c>
      <c r="E1339">
        <v>5734</v>
      </c>
      <c r="G1339" s="1"/>
      <c r="H1339" t="s">
        <v>1540</v>
      </c>
      <c r="I1339" s="2">
        <f>1615+500</f>
        <v>2115</v>
      </c>
      <c r="J1339" s="2">
        <v>0</v>
      </c>
      <c r="K1339" s="2" t="s">
        <v>863</v>
      </c>
      <c r="L1339" s="43" t="s">
        <v>986</v>
      </c>
      <c r="P1339" s="41">
        <v>2</v>
      </c>
      <c r="Q1339" s="41">
        <v>7</v>
      </c>
      <c r="R1339" s="41">
        <v>62</v>
      </c>
      <c r="S1339" t="s">
        <v>3321</v>
      </c>
      <c r="AH1339" t="s">
        <v>359</v>
      </c>
    </row>
    <row r="1340" spans="1:34" ht="15.75">
      <c r="A1340" s="29">
        <f t="shared" si="20"/>
        <v>529</v>
      </c>
      <c r="B1340" s="2">
        <v>632</v>
      </c>
      <c r="C1340" s="2">
        <v>9</v>
      </c>
      <c r="D1340" s="2">
        <v>1817</v>
      </c>
      <c r="E1340">
        <v>5735</v>
      </c>
      <c r="G1340" s="1"/>
      <c r="H1340" t="s">
        <v>1541</v>
      </c>
      <c r="I1340" s="2">
        <v>529</v>
      </c>
      <c r="J1340" s="2">
        <v>0</v>
      </c>
      <c r="K1340" s="2" t="s">
        <v>863</v>
      </c>
      <c r="L1340" s="43" t="s">
        <v>986</v>
      </c>
      <c r="N1340" s="41" t="s">
        <v>5269</v>
      </c>
      <c r="P1340" s="41">
        <v>26</v>
      </c>
      <c r="Q1340" s="41">
        <v>12</v>
      </c>
      <c r="R1340" s="41">
        <v>2</v>
      </c>
      <c r="S1340" t="s">
        <v>3343</v>
      </c>
      <c r="AH1340" t="s">
        <v>359</v>
      </c>
    </row>
    <row r="1341" spans="1:34" ht="15.75">
      <c r="A1341" s="29">
        <f t="shared" si="20"/>
        <v>3075</v>
      </c>
      <c r="B1341" s="2">
        <v>632</v>
      </c>
      <c r="C1341" s="2">
        <v>9</v>
      </c>
      <c r="D1341" s="2">
        <v>1817</v>
      </c>
      <c r="E1341">
        <v>5736</v>
      </c>
      <c r="G1341" s="1"/>
      <c r="H1341" t="s">
        <v>1540</v>
      </c>
      <c r="I1341" s="2">
        <v>3075</v>
      </c>
      <c r="J1341" s="2">
        <v>0</v>
      </c>
      <c r="K1341" s="2" t="s">
        <v>863</v>
      </c>
      <c r="L1341" s="43" t="s">
        <v>988</v>
      </c>
      <c r="P1341" s="41">
        <v>27</v>
      </c>
      <c r="Q1341" s="41">
        <v>6</v>
      </c>
      <c r="R1341" s="41">
        <v>24</v>
      </c>
      <c r="S1341" t="s">
        <v>3321</v>
      </c>
      <c r="AH1341" t="s">
        <v>359</v>
      </c>
    </row>
    <row r="1342" spans="1:34" ht="15.75">
      <c r="A1342" s="29">
        <f t="shared" si="20"/>
        <v>370</v>
      </c>
      <c r="B1342" s="2">
        <v>632</v>
      </c>
      <c r="C1342" s="2">
        <v>9</v>
      </c>
      <c r="D1342" s="2">
        <v>1817</v>
      </c>
      <c r="E1342">
        <v>5737</v>
      </c>
      <c r="G1342" s="1"/>
      <c r="H1342" t="s">
        <v>1540</v>
      </c>
      <c r="I1342" s="2">
        <v>370</v>
      </c>
      <c r="J1342" s="2">
        <v>0</v>
      </c>
      <c r="K1342" s="2" t="s">
        <v>863</v>
      </c>
      <c r="L1342" s="43" t="s">
        <v>989</v>
      </c>
      <c r="P1342" s="41">
        <v>27</v>
      </c>
      <c r="Q1342" s="41">
        <v>3</v>
      </c>
      <c r="R1342" s="41">
        <v>70</v>
      </c>
      <c r="S1342" t="s">
        <v>3321</v>
      </c>
      <c r="AH1342" t="s">
        <v>359</v>
      </c>
    </row>
    <row r="1343" spans="1:34" ht="15.75">
      <c r="A1343" s="29">
        <f t="shared" si="20"/>
        <v>1300</v>
      </c>
      <c r="B1343" s="2">
        <v>632</v>
      </c>
      <c r="C1343" s="2">
        <v>9</v>
      </c>
      <c r="D1343" s="2">
        <v>1817</v>
      </c>
      <c r="E1343">
        <v>5738</v>
      </c>
      <c r="G1343" s="1"/>
      <c r="H1343" t="s">
        <v>1541</v>
      </c>
      <c r="I1343" s="2">
        <v>1300</v>
      </c>
      <c r="J1343" s="2">
        <v>0</v>
      </c>
      <c r="K1343" s="2" t="s">
        <v>863</v>
      </c>
      <c r="L1343" s="43" t="s">
        <v>989</v>
      </c>
      <c r="P1343" s="41">
        <v>12</v>
      </c>
      <c r="Q1343" s="41">
        <v>7</v>
      </c>
      <c r="R1343" s="41">
        <v>35</v>
      </c>
      <c r="S1343" t="s">
        <v>3321</v>
      </c>
      <c r="AH1343" t="s">
        <v>359</v>
      </c>
    </row>
    <row r="1344" spans="1:34" ht="15.75">
      <c r="A1344" s="29">
        <f t="shared" si="20"/>
        <v>3031</v>
      </c>
      <c r="B1344" s="2">
        <v>632</v>
      </c>
      <c r="C1344" s="2">
        <v>9</v>
      </c>
      <c r="D1344" s="2">
        <v>1817</v>
      </c>
      <c r="E1344">
        <v>5739</v>
      </c>
      <c r="G1344" s="1"/>
      <c r="H1344" t="s">
        <v>1540</v>
      </c>
      <c r="I1344" s="2">
        <v>3031</v>
      </c>
      <c r="J1344" s="2">
        <v>0</v>
      </c>
      <c r="K1344" s="2" t="s">
        <v>863</v>
      </c>
      <c r="L1344" s="43" t="s">
        <v>989</v>
      </c>
      <c r="P1344" s="41">
        <v>9</v>
      </c>
      <c r="Q1344" s="41">
        <v>6</v>
      </c>
      <c r="R1344" s="41">
        <v>47</v>
      </c>
      <c r="S1344" t="s">
        <v>3343</v>
      </c>
      <c r="AH1344" t="s">
        <v>359</v>
      </c>
    </row>
    <row r="1345" spans="1:34" ht="15.75">
      <c r="A1345" s="29">
        <f t="shared" si="20"/>
        <v>132</v>
      </c>
      <c r="B1345" s="2">
        <v>632</v>
      </c>
      <c r="C1345" s="2">
        <v>9</v>
      </c>
      <c r="D1345" s="2">
        <v>1817</v>
      </c>
      <c r="E1345">
        <v>5740</v>
      </c>
      <c r="G1345" s="1"/>
      <c r="H1345" t="s">
        <v>1540</v>
      </c>
      <c r="I1345" s="2">
        <v>132</v>
      </c>
      <c r="J1345" s="2">
        <v>0</v>
      </c>
      <c r="K1345" s="2" t="s">
        <v>863</v>
      </c>
      <c r="L1345" s="43" t="s">
        <v>990</v>
      </c>
      <c r="P1345" s="41">
        <v>14</v>
      </c>
      <c r="Q1345" s="41">
        <v>8</v>
      </c>
      <c r="R1345" s="41">
        <v>87</v>
      </c>
      <c r="S1345" t="s">
        <v>3324</v>
      </c>
      <c r="AH1345" t="s">
        <v>359</v>
      </c>
    </row>
    <row r="1346" spans="1:34" ht="15.75">
      <c r="A1346" s="29">
        <f aca="true" t="shared" si="21" ref="A1346:A1409">I1346+J1346*20*X1346</f>
        <v>448</v>
      </c>
      <c r="B1346" s="2">
        <v>632</v>
      </c>
      <c r="C1346" s="2">
        <v>9</v>
      </c>
      <c r="D1346" s="2">
        <v>1817</v>
      </c>
      <c r="E1346">
        <v>5741</v>
      </c>
      <c r="G1346" s="1"/>
      <c r="H1346" t="s">
        <v>1541</v>
      </c>
      <c r="I1346" s="2">
        <v>448</v>
      </c>
      <c r="J1346" s="2">
        <v>0</v>
      </c>
      <c r="K1346" s="2" t="s">
        <v>863</v>
      </c>
      <c r="L1346" s="43" t="s">
        <v>990</v>
      </c>
      <c r="P1346" s="41">
        <v>11</v>
      </c>
      <c r="Q1346" s="41">
        <v>9</v>
      </c>
      <c r="R1346" s="41" t="s">
        <v>1547</v>
      </c>
      <c r="S1346" t="s">
        <v>3343</v>
      </c>
      <c r="AH1346" t="s">
        <v>359</v>
      </c>
    </row>
    <row r="1347" spans="1:34" ht="15.75">
      <c r="A1347" s="29">
        <f t="shared" si="21"/>
        <v>601</v>
      </c>
      <c r="B1347" s="2">
        <v>632</v>
      </c>
      <c r="C1347" s="2">
        <v>9</v>
      </c>
      <c r="D1347" s="2">
        <v>1817</v>
      </c>
      <c r="E1347">
        <v>5742</v>
      </c>
      <c r="G1347" s="1"/>
      <c r="H1347" t="s">
        <v>1540</v>
      </c>
      <c r="I1347" s="2">
        <v>601</v>
      </c>
      <c r="J1347" s="2">
        <v>0</v>
      </c>
      <c r="K1347" s="2" t="s">
        <v>863</v>
      </c>
      <c r="L1347" s="43" t="s">
        <v>4183</v>
      </c>
      <c r="P1347" s="41">
        <v>6</v>
      </c>
      <c r="Q1347" s="41">
        <v>7</v>
      </c>
      <c r="R1347" s="41">
        <v>66</v>
      </c>
      <c r="S1347" t="s">
        <v>3321</v>
      </c>
      <c r="AH1347" t="s">
        <v>359</v>
      </c>
    </row>
    <row r="1348" spans="1:34" ht="15.75">
      <c r="A1348" s="29">
        <f t="shared" si="21"/>
        <v>49</v>
      </c>
      <c r="B1348" s="2">
        <v>632</v>
      </c>
      <c r="C1348" s="2">
        <v>9</v>
      </c>
      <c r="D1348" s="2">
        <v>1817</v>
      </c>
      <c r="E1348">
        <v>5743</v>
      </c>
      <c r="G1348" s="1"/>
      <c r="H1348" t="s">
        <v>1540</v>
      </c>
      <c r="I1348" s="2">
        <v>49</v>
      </c>
      <c r="J1348" s="2">
        <v>0</v>
      </c>
      <c r="K1348" s="2" t="s">
        <v>863</v>
      </c>
      <c r="L1348" s="43" t="s">
        <v>4183</v>
      </c>
      <c r="P1348" s="41">
        <v>15</v>
      </c>
      <c r="Q1348" s="41">
        <v>5</v>
      </c>
      <c r="R1348" s="41">
        <v>61</v>
      </c>
      <c r="S1348" t="s">
        <v>3321</v>
      </c>
      <c r="AH1348" t="s">
        <v>359</v>
      </c>
    </row>
    <row r="1349" spans="1:34" ht="15.75">
      <c r="A1349" s="29">
        <f t="shared" si="21"/>
        <v>3135</v>
      </c>
      <c r="B1349" s="2">
        <v>632</v>
      </c>
      <c r="C1349" s="2">
        <v>9</v>
      </c>
      <c r="D1349" s="2">
        <v>1817</v>
      </c>
      <c r="E1349">
        <v>5744</v>
      </c>
      <c r="G1349" s="1"/>
      <c r="H1349" t="s">
        <v>1541</v>
      </c>
      <c r="I1349" s="2">
        <v>3135</v>
      </c>
      <c r="J1349" s="2">
        <v>0</v>
      </c>
      <c r="K1349" s="2" t="s">
        <v>863</v>
      </c>
      <c r="L1349" s="43" t="s">
        <v>4184</v>
      </c>
      <c r="P1349" s="41">
        <v>1</v>
      </c>
      <c r="Q1349" s="41">
        <v>6</v>
      </c>
      <c r="R1349" s="41">
        <v>46</v>
      </c>
      <c r="S1349" t="s">
        <v>3329</v>
      </c>
      <c r="AH1349" t="s">
        <v>359</v>
      </c>
    </row>
    <row r="1350" spans="1:34" ht="15.75">
      <c r="A1350" s="29">
        <f t="shared" si="21"/>
        <v>10573</v>
      </c>
      <c r="B1350" s="2">
        <v>632</v>
      </c>
      <c r="C1350" s="2">
        <v>9</v>
      </c>
      <c r="D1350" s="2">
        <v>1817</v>
      </c>
      <c r="E1350">
        <v>5745</v>
      </c>
      <c r="G1350" s="1"/>
      <c r="H1350" t="s">
        <v>1540</v>
      </c>
      <c r="I1350" s="2">
        <v>10573</v>
      </c>
      <c r="J1350" s="2">
        <v>0</v>
      </c>
      <c r="K1350" s="2" t="s">
        <v>863</v>
      </c>
      <c r="L1350" s="43" t="s">
        <v>4184</v>
      </c>
      <c r="P1350" s="41">
        <v>30</v>
      </c>
      <c r="Q1350" s="41">
        <v>8</v>
      </c>
      <c r="R1350" s="41">
        <v>21</v>
      </c>
      <c r="S1350" t="s">
        <v>1547</v>
      </c>
      <c r="AH1350" t="s">
        <v>359</v>
      </c>
    </row>
    <row r="1351" spans="1:34" ht="15.75">
      <c r="A1351" s="29">
        <f t="shared" si="21"/>
        <v>52</v>
      </c>
      <c r="B1351" s="2">
        <v>632</v>
      </c>
      <c r="C1351" s="2">
        <v>9</v>
      </c>
      <c r="D1351" s="2">
        <v>1817</v>
      </c>
      <c r="E1351">
        <v>5746</v>
      </c>
      <c r="G1351" s="1"/>
      <c r="H1351" t="s">
        <v>1541</v>
      </c>
      <c r="I1351" s="2">
        <v>52</v>
      </c>
      <c r="J1351" s="2">
        <v>0</v>
      </c>
      <c r="K1351" s="2" t="s">
        <v>863</v>
      </c>
      <c r="L1351" s="43" t="s">
        <v>4184</v>
      </c>
      <c r="P1351" s="41">
        <v>29</v>
      </c>
      <c r="Q1351" s="41">
        <v>10</v>
      </c>
      <c r="R1351" s="41">
        <v>63</v>
      </c>
      <c r="S1351" t="s">
        <v>3329</v>
      </c>
      <c r="AH1351" t="s">
        <v>359</v>
      </c>
    </row>
    <row r="1352" spans="1:34" ht="15.75">
      <c r="A1352" s="29">
        <f t="shared" si="21"/>
        <v>0</v>
      </c>
      <c r="B1352" s="2">
        <v>632</v>
      </c>
      <c r="C1352" s="2">
        <v>9</v>
      </c>
      <c r="D1352" s="2">
        <v>1817</v>
      </c>
      <c r="E1352">
        <v>5747</v>
      </c>
      <c r="G1352" s="1"/>
      <c r="H1352" t="s">
        <v>1541</v>
      </c>
      <c r="I1352" s="2">
        <v>0</v>
      </c>
      <c r="J1352" s="2">
        <v>0</v>
      </c>
      <c r="K1352" s="2" t="s">
        <v>863</v>
      </c>
      <c r="L1352" s="43" t="s">
        <v>989</v>
      </c>
      <c r="P1352" s="41">
        <v>23</v>
      </c>
      <c r="Q1352" s="41">
        <v>2</v>
      </c>
      <c r="R1352" s="41" t="s">
        <v>1547</v>
      </c>
      <c r="S1352" t="s">
        <v>3321</v>
      </c>
      <c r="V1352" t="s">
        <v>3924</v>
      </c>
      <c r="AH1352" t="s">
        <v>359</v>
      </c>
    </row>
    <row r="1353" spans="1:34" ht="15.75">
      <c r="A1353" s="29">
        <f t="shared" si="21"/>
        <v>0</v>
      </c>
      <c r="B1353" s="2">
        <v>632</v>
      </c>
      <c r="C1353" s="2">
        <v>9</v>
      </c>
      <c r="D1353" s="2">
        <v>1817</v>
      </c>
      <c r="E1353">
        <v>5748</v>
      </c>
      <c r="G1353" s="1"/>
      <c r="H1353" t="s">
        <v>1549</v>
      </c>
      <c r="I1353" s="2">
        <v>0</v>
      </c>
      <c r="J1353" s="2">
        <v>0</v>
      </c>
      <c r="K1353" s="2" t="s">
        <v>863</v>
      </c>
      <c r="L1353" s="43" t="s">
        <v>4184</v>
      </c>
      <c r="P1353" s="41">
        <v>2</v>
      </c>
      <c r="Q1353" s="41">
        <v>1</v>
      </c>
      <c r="R1353" s="41">
        <v>26</v>
      </c>
      <c r="S1353" t="s">
        <v>3343</v>
      </c>
      <c r="V1353" t="s">
        <v>3925</v>
      </c>
      <c r="AH1353" t="s">
        <v>359</v>
      </c>
    </row>
    <row r="1354" spans="1:34" ht="15.75">
      <c r="A1354" s="29">
        <f t="shared" si="21"/>
        <v>3431</v>
      </c>
      <c r="B1354" s="2">
        <v>633</v>
      </c>
      <c r="C1354" s="2">
        <v>9</v>
      </c>
      <c r="D1354" s="2">
        <v>1817</v>
      </c>
      <c r="E1354">
        <v>5781</v>
      </c>
      <c r="G1354" s="1"/>
      <c r="H1354" t="s">
        <v>1541</v>
      </c>
      <c r="I1354" s="2">
        <v>3431</v>
      </c>
      <c r="J1354" s="2">
        <v>0</v>
      </c>
      <c r="K1354" s="2" t="s">
        <v>863</v>
      </c>
      <c r="L1354" s="43" t="s">
        <v>3926</v>
      </c>
      <c r="P1354" s="41">
        <v>10</v>
      </c>
      <c r="Q1354" s="41">
        <v>7</v>
      </c>
      <c r="R1354" s="41">
        <v>22</v>
      </c>
      <c r="S1354" t="s">
        <v>3321</v>
      </c>
      <c r="AH1354" t="s">
        <v>359</v>
      </c>
    </row>
    <row r="1355" spans="1:34" ht="15.75">
      <c r="A1355" s="29">
        <f t="shared" si="21"/>
        <v>83959</v>
      </c>
      <c r="B1355" s="2">
        <v>633</v>
      </c>
      <c r="C1355" s="2">
        <v>9</v>
      </c>
      <c r="D1355" s="2">
        <v>1817</v>
      </c>
      <c r="E1355">
        <v>5782</v>
      </c>
      <c r="G1355" s="1"/>
      <c r="H1355" t="s">
        <v>1541</v>
      </c>
      <c r="I1355" s="2">
        <v>83959</v>
      </c>
      <c r="J1355" s="2">
        <v>0</v>
      </c>
      <c r="K1355" s="2" t="s">
        <v>863</v>
      </c>
      <c r="L1355" s="43" t="s">
        <v>3927</v>
      </c>
      <c r="M1355" s="41" t="s">
        <v>4189</v>
      </c>
      <c r="O1355" s="41" t="s">
        <v>3928</v>
      </c>
      <c r="P1355" s="41">
        <v>1</v>
      </c>
      <c r="Q1355" s="41">
        <v>7</v>
      </c>
      <c r="R1355" s="41" t="s">
        <v>1267</v>
      </c>
      <c r="S1355" t="s">
        <v>3343</v>
      </c>
      <c r="T1355" t="s">
        <v>3929</v>
      </c>
      <c r="V1355" t="s">
        <v>3930</v>
      </c>
      <c r="AH1355" t="s">
        <v>359</v>
      </c>
    </row>
    <row r="1356" spans="1:34" ht="15.75">
      <c r="A1356" s="29">
        <f t="shared" si="21"/>
        <v>18000</v>
      </c>
      <c r="B1356" s="2">
        <v>633</v>
      </c>
      <c r="C1356" s="2">
        <v>9</v>
      </c>
      <c r="D1356" s="2">
        <v>1817</v>
      </c>
      <c r="E1356">
        <v>5783</v>
      </c>
      <c r="G1356" s="1"/>
      <c r="H1356" t="s">
        <v>1540</v>
      </c>
      <c r="I1356" s="2">
        <v>0</v>
      </c>
      <c r="J1356" s="2">
        <v>1800</v>
      </c>
      <c r="K1356" s="2" t="s">
        <v>863</v>
      </c>
      <c r="L1356" s="43" t="s">
        <v>3931</v>
      </c>
      <c r="M1356" s="41" t="s">
        <v>854</v>
      </c>
      <c r="N1356" s="41" t="s">
        <v>1555</v>
      </c>
      <c r="O1356" s="41" t="s">
        <v>3933</v>
      </c>
      <c r="P1356" s="41">
        <v>6</v>
      </c>
      <c r="Q1356" s="41">
        <v>11</v>
      </c>
      <c r="R1356" s="41" t="s">
        <v>1547</v>
      </c>
      <c r="S1356" t="s">
        <v>3932</v>
      </c>
      <c r="T1356" t="s">
        <v>3934</v>
      </c>
      <c r="V1356" t="s">
        <v>1268</v>
      </c>
      <c r="X1356">
        <v>0.5</v>
      </c>
      <c r="Y1356" t="s">
        <v>3935</v>
      </c>
      <c r="AH1356" t="s">
        <v>359</v>
      </c>
    </row>
    <row r="1357" spans="1:34" ht="15.75">
      <c r="A1357" s="29">
        <f t="shared" si="21"/>
        <v>48</v>
      </c>
      <c r="B1357" s="2">
        <v>633</v>
      </c>
      <c r="C1357" s="2">
        <v>9</v>
      </c>
      <c r="D1357" s="2">
        <v>1817</v>
      </c>
      <c r="E1357">
        <v>5784</v>
      </c>
      <c r="G1357" s="1"/>
      <c r="H1357" t="s">
        <v>1540</v>
      </c>
      <c r="I1357" s="2">
        <v>48</v>
      </c>
      <c r="J1357" s="2">
        <v>0</v>
      </c>
      <c r="K1357" s="2" t="s">
        <v>863</v>
      </c>
      <c r="L1357" s="43" t="s">
        <v>1370</v>
      </c>
      <c r="P1357" s="41">
        <v>4</v>
      </c>
      <c r="Q1357" s="41">
        <v>11</v>
      </c>
      <c r="R1357" s="41">
        <v>80</v>
      </c>
      <c r="S1357" t="s">
        <v>3321</v>
      </c>
      <c r="AH1357" t="s">
        <v>359</v>
      </c>
    </row>
    <row r="1358" spans="1:34" ht="15.75">
      <c r="A1358" s="29">
        <f t="shared" si="21"/>
        <v>8000</v>
      </c>
      <c r="B1358" s="2">
        <v>633</v>
      </c>
      <c r="C1358" s="2">
        <v>9</v>
      </c>
      <c r="D1358" s="2">
        <v>1817</v>
      </c>
      <c r="E1358">
        <v>5787</v>
      </c>
      <c r="G1358" s="1"/>
      <c r="H1358" t="s">
        <v>1541</v>
      </c>
      <c r="I1358" s="2">
        <v>8000</v>
      </c>
      <c r="J1358" s="2">
        <v>0</v>
      </c>
      <c r="K1358" s="2" t="s">
        <v>863</v>
      </c>
      <c r="L1358" s="43" t="s">
        <v>3636</v>
      </c>
      <c r="P1358" s="41">
        <v>21</v>
      </c>
      <c r="Q1358" s="41">
        <v>4</v>
      </c>
      <c r="R1358" s="41">
        <v>42</v>
      </c>
      <c r="S1358" t="s">
        <v>3321</v>
      </c>
      <c r="AH1358" t="s">
        <v>359</v>
      </c>
    </row>
    <row r="1359" spans="1:34" ht="15.75">
      <c r="A1359" s="29">
        <f t="shared" si="21"/>
        <v>205</v>
      </c>
      <c r="B1359" s="2">
        <v>633</v>
      </c>
      <c r="C1359" s="2">
        <v>9</v>
      </c>
      <c r="D1359" s="2">
        <v>1817</v>
      </c>
      <c r="E1359">
        <v>5788</v>
      </c>
      <c r="G1359" s="1"/>
      <c r="H1359" t="s">
        <v>1541</v>
      </c>
      <c r="I1359" s="2">
        <v>205</v>
      </c>
      <c r="J1359" s="2">
        <v>0</v>
      </c>
      <c r="K1359" s="2" t="s">
        <v>863</v>
      </c>
      <c r="L1359" s="43" t="s">
        <v>3636</v>
      </c>
      <c r="P1359" s="41">
        <v>22</v>
      </c>
      <c r="Q1359" s="41">
        <v>9</v>
      </c>
      <c r="R1359" s="41" t="s">
        <v>1547</v>
      </c>
      <c r="S1359" t="s">
        <v>1547</v>
      </c>
      <c r="U1359" t="s">
        <v>3635</v>
      </c>
      <c r="AH1359" t="s">
        <v>359</v>
      </c>
    </row>
    <row r="1360" spans="1:34" ht="15.75">
      <c r="A1360" s="29">
        <f t="shared" si="21"/>
        <v>26095</v>
      </c>
      <c r="B1360" s="8">
        <v>633</v>
      </c>
      <c r="C1360" s="8">
        <v>9</v>
      </c>
      <c r="D1360" s="2">
        <v>1817</v>
      </c>
      <c r="E1360">
        <v>5789</v>
      </c>
      <c r="F1360" s="9"/>
      <c r="G1360" s="7"/>
      <c r="H1360" s="9" t="s">
        <v>1540</v>
      </c>
      <c r="I1360" s="8">
        <v>26095</v>
      </c>
      <c r="J1360" s="8">
        <v>0</v>
      </c>
      <c r="K1360" s="2" t="s">
        <v>863</v>
      </c>
      <c r="L1360" s="43" t="s">
        <v>3938</v>
      </c>
      <c r="M1360" s="41" t="s">
        <v>960</v>
      </c>
      <c r="N1360" s="41" t="s">
        <v>3939</v>
      </c>
      <c r="O1360" s="41" t="s">
        <v>3940</v>
      </c>
      <c r="P1360" s="41">
        <v>22</v>
      </c>
      <c r="Q1360" s="41">
        <v>7</v>
      </c>
      <c r="R1360" s="41">
        <v>83</v>
      </c>
      <c r="S1360" t="s">
        <v>3343</v>
      </c>
      <c r="T1360" s="11" t="s">
        <v>3941</v>
      </c>
      <c r="U1360" s="11"/>
      <c r="V1360" s="11" t="s">
        <v>3942</v>
      </c>
      <c r="W1360" s="11"/>
      <c r="X1360" s="11"/>
      <c r="Y1360" s="11"/>
      <c r="AH1360" t="s">
        <v>359</v>
      </c>
    </row>
    <row r="1361" spans="1:34" ht="15.75">
      <c r="A1361" s="29">
        <f t="shared" si="21"/>
        <v>435</v>
      </c>
      <c r="B1361" s="2">
        <v>633</v>
      </c>
      <c r="C1361" s="2">
        <v>9</v>
      </c>
      <c r="D1361" s="2">
        <v>1817</v>
      </c>
      <c r="E1361">
        <v>5790</v>
      </c>
      <c r="G1361" s="1"/>
      <c r="H1361" t="s">
        <v>1540</v>
      </c>
      <c r="I1361" s="2">
        <v>435</v>
      </c>
      <c r="J1361" s="2">
        <v>0</v>
      </c>
      <c r="K1361" s="2" t="s">
        <v>863</v>
      </c>
      <c r="L1361" s="43" t="s">
        <v>3943</v>
      </c>
      <c r="P1361" s="41">
        <v>6</v>
      </c>
      <c r="Q1361" s="41">
        <v>9</v>
      </c>
      <c r="R1361" s="41">
        <v>55</v>
      </c>
      <c r="S1361" t="s">
        <v>3321</v>
      </c>
      <c r="AH1361" t="s">
        <v>359</v>
      </c>
    </row>
    <row r="1362" spans="1:34" ht="15.75">
      <c r="A1362" s="29">
        <f t="shared" si="21"/>
        <v>5612</v>
      </c>
      <c r="B1362" s="2">
        <v>633</v>
      </c>
      <c r="C1362" s="2">
        <v>9</v>
      </c>
      <c r="D1362" s="2">
        <v>1817</v>
      </c>
      <c r="E1362">
        <v>5791</v>
      </c>
      <c r="G1362" s="1"/>
      <c r="H1362" t="s">
        <v>1540</v>
      </c>
      <c r="I1362" s="2">
        <f>4346+150+30+1086</f>
        <v>5612</v>
      </c>
      <c r="J1362" s="2">
        <v>0</v>
      </c>
      <c r="K1362" s="2" t="s">
        <v>863</v>
      </c>
      <c r="L1362" s="43" t="s">
        <v>1374</v>
      </c>
      <c r="P1362" s="41">
        <v>19</v>
      </c>
      <c r="Q1362" s="41">
        <v>3</v>
      </c>
      <c r="R1362" s="41">
        <v>44</v>
      </c>
      <c r="S1362" t="s">
        <v>3321</v>
      </c>
      <c r="AH1362" t="s">
        <v>359</v>
      </c>
    </row>
    <row r="1363" spans="1:34" ht="15.75">
      <c r="A1363" s="29">
        <f t="shared" si="21"/>
        <v>13200</v>
      </c>
      <c r="B1363" s="2">
        <v>633</v>
      </c>
      <c r="C1363" s="2">
        <v>9</v>
      </c>
      <c r="D1363" s="2">
        <v>1817</v>
      </c>
      <c r="E1363">
        <v>5792</v>
      </c>
      <c r="G1363" s="1"/>
      <c r="H1363" t="s">
        <v>1541</v>
      </c>
      <c r="I1363" s="2">
        <v>200</v>
      </c>
      <c r="J1363" s="2">
        <v>650</v>
      </c>
      <c r="K1363" s="2" t="s">
        <v>863</v>
      </c>
      <c r="L1363" s="43" t="s">
        <v>992</v>
      </c>
      <c r="P1363" s="41">
        <v>7</v>
      </c>
      <c r="Q1363" s="41">
        <v>4</v>
      </c>
      <c r="R1363" s="41">
        <v>82</v>
      </c>
      <c r="S1363" t="s">
        <v>3329</v>
      </c>
      <c r="X1363">
        <v>1</v>
      </c>
      <c r="Y1363" t="s">
        <v>3944</v>
      </c>
      <c r="AH1363" t="s">
        <v>359</v>
      </c>
    </row>
    <row r="1364" spans="1:34" ht="15.75">
      <c r="A1364" s="29">
        <f t="shared" si="21"/>
        <v>35710</v>
      </c>
      <c r="B1364" s="2">
        <v>633</v>
      </c>
      <c r="C1364" s="2">
        <v>9</v>
      </c>
      <c r="D1364" s="2">
        <v>1817</v>
      </c>
      <c r="E1364">
        <v>5794</v>
      </c>
      <c r="G1364" s="1"/>
      <c r="H1364" t="s">
        <v>1541</v>
      </c>
      <c r="I1364" s="2">
        <v>35710</v>
      </c>
      <c r="J1364" s="2">
        <v>0</v>
      </c>
      <c r="K1364" s="2" t="s">
        <v>863</v>
      </c>
      <c r="L1364" s="43" t="s">
        <v>3950</v>
      </c>
      <c r="M1364" s="41" t="s">
        <v>3952</v>
      </c>
      <c r="O1364" s="41" t="s">
        <v>3953</v>
      </c>
      <c r="P1364" s="41">
        <v>3</v>
      </c>
      <c r="Q1364" s="41">
        <v>6</v>
      </c>
      <c r="R1364" s="41">
        <v>22</v>
      </c>
      <c r="S1364" t="s">
        <v>3951</v>
      </c>
      <c r="T1364" t="s">
        <v>3954</v>
      </c>
      <c r="V1364" t="s">
        <v>4851</v>
      </c>
      <c r="AH1364" t="s">
        <v>359</v>
      </c>
    </row>
    <row r="1365" spans="1:34" ht="15.75">
      <c r="A1365" s="29">
        <f t="shared" si="21"/>
        <v>61</v>
      </c>
      <c r="B1365" s="2">
        <v>633</v>
      </c>
      <c r="C1365" s="2">
        <v>9</v>
      </c>
      <c r="D1365" s="2">
        <v>1817</v>
      </c>
      <c r="E1365">
        <v>5795</v>
      </c>
      <c r="G1365" s="1"/>
      <c r="H1365" t="s">
        <v>1540</v>
      </c>
      <c r="I1365" s="2">
        <v>61</v>
      </c>
      <c r="J1365" s="2">
        <v>0</v>
      </c>
      <c r="K1365" s="2" t="s">
        <v>863</v>
      </c>
      <c r="L1365" s="43" t="s">
        <v>4186</v>
      </c>
      <c r="P1365" s="41">
        <v>28</v>
      </c>
      <c r="Q1365" s="41">
        <v>1</v>
      </c>
      <c r="R1365" s="41">
        <v>64</v>
      </c>
      <c r="S1365" t="s">
        <v>3321</v>
      </c>
      <c r="AH1365" t="s">
        <v>359</v>
      </c>
    </row>
    <row r="1366" spans="1:34" ht="15.75">
      <c r="A1366" s="29">
        <f t="shared" si="21"/>
        <v>40</v>
      </c>
      <c r="B1366" s="2">
        <v>633</v>
      </c>
      <c r="C1366" s="2">
        <v>9</v>
      </c>
      <c r="D1366" s="2">
        <v>1817</v>
      </c>
      <c r="E1366">
        <v>5797</v>
      </c>
      <c r="G1366" s="1"/>
      <c r="H1366" t="s">
        <v>1540</v>
      </c>
      <c r="I1366" s="2">
        <v>40</v>
      </c>
      <c r="J1366" s="2">
        <v>0</v>
      </c>
      <c r="K1366" s="2" t="s">
        <v>863</v>
      </c>
      <c r="L1366" s="43" t="s">
        <v>995</v>
      </c>
      <c r="P1366" s="41">
        <v>19</v>
      </c>
      <c r="Q1366" s="41">
        <v>3</v>
      </c>
      <c r="R1366" s="41">
        <v>30</v>
      </c>
      <c r="S1366" t="s">
        <v>3321</v>
      </c>
      <c r="AH1366" t="s">
        <v>359</v>
      </c>
    </row>
    <row r="1367" spans="1:34" ht="15.75">
      <c r="A1367" s="29">
        <f t="shared" si="21"/>
        <v>57</v>
      </c>
      <c r="B1367" s="2">
        <v>633</v>
      </c>
      <c r="C1367" s="2">
        <v>9</v>
      </c>
      <c r="D1367" s="2">
        <v>1817</v>
      </c>
      <c r="E1367">
        <v>5798</v>
      </c>
      <c r="G1367" s="1"/>
      <c r="H1367" t="s">
        <v>850</v>
      </c>
      <c r="I1367" s="2">
        <v>57</v>
      </c>
      <c r="J1367" s="2">
        <v>0</v>
      </c>
      <c r="K1367" s="2" t="s">
        <v>863</v>
      </c>
      <c r="L1367" s="43" t="s">
        <v>1370</v>
      </c>
      <c r="P1367" s="41">
        <v>6</v>
      </c>
      <c r="Q1367" s="41">
        <v>2</v>
      </c>
      <c r="R1367" s="41">
        <v>65</v>
      </c>
      <c r="S1367" t="s">
        <v>3321</v>
      </c>
      <c r="AH1367" t="s">
        <v>359</v>
      </c>
    </row>
    <row r="1368" spans="1:34" ht="15.75">
      <c r="A1368" s="29">
        <f t="shared" si="21"/>
        <v>240</v>
      </c>
      <c r="B1368" s="2">
        <v>633</v>
      </c>
      <c r="C1368" s="2">
        <v>9</v>
      </c>
      <c r="D1368" s="2">
        <v>1817</v>
      </c>
      <c r="E1368">
        <v>5799</v>
      </c>
      <c r="G1368" s="1"/>
      <c r="H1368" t="s">
        <v>1549</v>
      </c>
      <c r="I1368" s="2">
        <v>240</v>
      </c>
      <c r="J1368" s="2">
        <v>0</v>
      </c>
      <c r="K1368" s="2" t="s">
        <v>863</v>
      </c>
      <c r="L1368" s="43" t="s">
        <v>3956</v>
      </c>
      <c r="P1368" s="41">
        <v>4</v>
      </c>
      <c r="Q1368" s="41">
        <v>5</v>
      </c>
      <c r="R1368" s="41">
        <v>63</v>
      </c>
      <c r="S1368" t="s">
        <v>3343</v>
      </c>
      <c r="AH1368" t="s">
        <v>359</v>
      </c>
    </row>
    <row r="1369" spans="1:34" ht="15.75">
      <c r="A1369" s="29">
        <f t="shared" si="21"/>
        <v>70</v>
      </c>
      <c r="B1369" s="2">
        <v>634</v>
      </c>
      <c r="C1369" s="2">
        <v>9</v>
      </c>
      <c r="D1369" s="2">
        <v>1817</v>
      </c>
      <c r="E1369">
        <v>5826</v>
      </c>
      <c r="G1369" s="1"/>
      <c r="H1369" t="s">
        <v>1541</v>
      </c>
      <c r="I1369" s="2">
        <v>70</v>
      </c>
      <c r="J1369" s="2">
        <v>0</v>
      </c>
      <c r="K1369" s="2" t="s">
        <v>863</v>
      </c>
      <c r="L1369" s="43" t="s">
        <v>4188</v>
      </c>
      <c r="P1369" s="41">
        <v>17</v>
      </c>
      <c r="Q1369" s="41">
        <v>4</v>
      </c>
      <c r="R1369" s="41">
        <v>54</v>
      </c>
      <c r="S1369" t="s">
        <v>3321</v>
      </c>
      <c r="AH1369" t="s">
        <v>359</v>
      </c>
    </row>
    <row r="1370" spans="1:34" ht="15.75">
      <c r="A1370" s="29">
        <f t="shared" si="21"/>
        <v>1300</v>
      </c>
      <c r="B1370" s="2">
        <v>634</v>
      </c>
      <c r="C1370" s="2">
        <v>9</v>
      </c>
      <c r="D1370" s="2">
        <v>1817</v>
      </c>
      <c r="E1370">
        <v>5827</v>
      </c>
      <c r="G1370" s="1"/>
      <c r="H1370" t="s">
        <v>1541</v>
      </c>
      <c r="I1370" s="2">
        <v>1300</v>
      </c>
      <c r="J1370" s="2">
        <v>0</v>
      </c>
      <c r="K1370" s="2" t="s">
        <v>863</v>
      </c>
      <c r="L1370" s="43" t="s">
        <v>997</v>
      </c>
      <c r="P1370" s="41">
        <v>5</v>
      </c>
      <c r="Q1370" s="41">
        <v>2</v>
      </c>
      <c r="R1370" s="41">
        <v>51</v>
      </c>
      <c r="S1370" t="s">
        <v>3321</v>
      </c>
      <c r="AH1370" t="s">
        <v>359</v>
      </c>
    </row>
    <row r="1371" spans="1:34" ht="15.75">
      <c r="A1371" s="29">
        <f t="shared" si="21"/>
        <v>1677</v>
      </c>
      <c r="B1371" s="2">
        <v>634</v>
      </c>
      <c r="C1371" s="2">
        <v>9</v>
      </c>
      <c r="D1371" s="2">
        <v>1817</v>
      </c>
      <c r="E1371">
        <v>5828</v>
      </c>
      <c r="G1371" s="1"/>
      <c r="H1371" t="s">
        <v>1540</v>
      </c>
      <c r="I1371" s="2">
        <v>1677</v>
      </c>
      <c r="J1371" s="2">
        <v>0</v>
      </c>
      <c r="K1371" s="2" t="s">
        <v>863</v>
      </c>
      <c r="L1371" s="43" t="s">
        <v>998</v>
      </c>
      <c r="N1371" s="41" t="s">
        <v>3347</v>
      </c>
      <c r="P1371" s="41">
        <v>5</v>
      </c>
      <c r="Q1371" s="41">
        <v>2</v>
      </c>
      <c r="R1371" s="41">
        <v>4</v>
      </c>
      <c r="S1371" t="s">
        <v>3343</v>
      </c>
      <c r="AH1371" t="s">
        <v>359</v>
      </c>
    </row>
    <row r="1372" spans="1:34" ht="15.75">
      <c r="A1372" s="29">
        <f t="shared" si="21"/>
        <v>29</v>
      </c>
      <c r="B1372" s="2">
        <v>634</v>
      </c>
      <c r="C1372" s="2">
        <v>9</v>
      </c>
      <c r="D1372" s="2">
        <v>1817</v>
      </c>
      <c r="E1372">
        <v>5829</v>
      </c>
      <c r="G1372" s="1"/>
      <c r="H1372" t="s">
        <v>1540</v>
      </c>
      <c r="I1372" s="2">
        <v>29</v>
      </c>
      <c r="J1372" s="2">
        <v>0</v>
      </c>
      <c r="K1372" s="2" t="s">
        <v>863</v>
      </c>
      <c r="L1372" s="43" t="s">
        <v>998</v>
      </c>
      <c r="P1372" s="41">
        <v>25</v>
      </c>
      <c r="Q1372" s="41">
        <v>3</v>
      </c>
      <c r="R1372" s="41">
        <v>50</v>
      </c>
      <c r="S1372" t="s">
        <v>3321</v>
      </c>
      <c r="AH1372" t="s">
        <v>359</v>
      </c>
    </row>
    <row r="1373" spans="1:34" ht="15.75">
      <c r="A1373" s="29">
        <f t="shared" si="21"/>
        <v>742</v>
      </c>
      <c r="B1373" s="2">
        <v>634</v>
      </c>
      <c r="C1373" s="2">
        <v>9</v>
      </c>
      <c r="D1373" s="2">
        <v>1817</v>
      </c>
      <c r="E1373">
        <v>5830</v>
      </c>
      <c r="G1373" s="1"/>
      <c r="H1373" t="s">
        <v>1540</v>
      </c>
      <c r="I1373" s="2">
        <v>742</v>
      </c>
      <c r="J1373" s="2">
        <v>0</v>
      </c>
      <c r="K1373" s="2" t="s">
        <v>863</v>
      </c>
      <c r="L1373" s="43" t="s">
        <v>998</v>
      </c>
      <c r="N1373" s="41" t="s">
        <v>3347</v>
      </c>
      <c r="P1373" s="41">
        <v>24</v>
      </c>
      <c r="Q1373" s="41">
        <v>5</v>
      </c>
      <c r="R1373" s="41">
        <v>8</v>
      </c>
      <c r="S1373" t="s">
        <v>3343</v>
      </c>
      <c r="AH1373" t="s">
        <v>359</v>
      </c>
    </row>
    <row r="1374" spans="1:34" ht="15.75">
      <c r="A1374" s="29">
        <f t="shared" si="21"/>
        <v>99</v>
      </c>
      <c r="B1374" s="2">
        <v>634</v>
      </c>
      <c r="C1374" s="2">
        <v>9</v>
      </c>
      <c r="D1374" s="2">
        <v>1817</v>
      </c>
      <c r="E1374">
        <v>5831</v>
      </c>
      <c r="G1374" s="1"/>
      <c r="H1374" t="s">
        <v>1541</v>
      </c>
      <c r="I1374" s="2">
        <v>99</v>
      </c>
      <c r="J1374" s="2">
        <v>0</v>
      </c>
      <c r="K1374" s="2" t="s">
        <v>863</v>
      </c>
      <c r="L1374" s="43" t="s">
        <v>3957</v>
      </c>
      <c r="P1374" s="41">
        <v>15</v>
      </c>
      <c r="Q1374" s="41">
        <v>12</v>
      </c>
      <c r="R1374" s="41">
        <v>56</v>
      </c>
      <c r="S1374" t="s">
        <v>3321</v>
      </c>
      <c r="AH1374" t="s">
        <v>359</v>
      </c>
    </row>
    <row r="1375" spans="1:34" ht="15.75">
      <c r="A1375" s="29">
        <f t="shared" si="21"/>
        <v>258</v>
      </c>
      <c r="B1375" s="2">
        <v>634</v>
      </c>
      <c r="C1375" s="2">
        <v>9</v>
      </c>
      <c r="D1375" s="2">
        <v>1817</v>
      </c>
      <c r="E1375">
        <v>5832</v>
      </c>
      <c r="G1375" s="1"/>
      <c r="H1375" t="s">
        <v>1541</v>
      </c>
      <c r="I1375" s="2">
        <f>63+195</f>
        <v>258</v>
      </c>
      <c r="J1375" s="2">
        <v>0</v>
      </c>
      <c r="K1375" s="2" t="s">
        <v>863</v>
      </c>
      <c r="L1375" s="43" t="s">
        <v>1000</v>
      </c>
      <c r="P1375" s="41">
        <v>13</v>
      </c>
      <c r="Q1375" s="41">
        <v>9</v>
      </c>
      <c r="R1375" s="41">
        <v>60</v>
      </c>
      <c r="S1375" t="s">
        <v>3321</v>
      </c>
      <c r="AH1375" t="s">
        <v>359</v>
      </c>
    </row>
    <row r="1376" spans="1:34" ht="15.75">
      <c r="A1376" s="29">
        <f t="shared" si="21"/>
        <v>101883</v>
      </c>
      <c r="B1376" s="2">
        <v>634</v>
      </c>
      <c r="C1376" s="2">
        <v>9</v>
      </c>
      <c r="D1376" s="2">
        <v>1817</v>
      </c>
      <c r="E1376">
        <v>5833</v>
      </c>
      <c r="G1376" s="1"/>
      <c r="H1376" t="s">
        <v>1541</v>
      </c>
      <c r="I1376" s="2">
        <v>91383</v>
      </c>
      <c r="J1376" s="2">
        <f>1500+600</f>
        <v>2100</v>
      </c>
      <c r="K1376" s="2" t="s">
        <v>863</v>
      </c>
      <c r="L1376" s="43" t="s">
        <v>3958</v>
      </c>
      <c r="M1376" s="41" t="s">
        <v>3960</v>
      </c>
      <c r="N1376" s="41" t="s">
        <v>1555</v>
      </c>
      <c r="O1376" s="41" t="s">
        <v>3961</v>
      </c>
      <c r="P1376" s="41">
        <v>27</v>
      </c>
      <c r="Q1376" s="41">
        <v>12</v>
      </c>
      <c r="R1376" s="41">
        <v>73</v>
      </c>
      <c r="S1376" t="s">
        <v>3959</v>
      </c>
      <c r="T1376" t="s">
        <v>3962</v>
      </c>
      <c r="V1376" t="s">
        <v>3963</v>
      </c>
      <c r="X1376">
        <v>0.25</v>
      </c>
      <c r="Y1376" t="s">
        <v>3961</v>
      </c>
      <c r="AA1376" t="s">
        <v>3964</v>
      </c>
      <c r="AC1376" t="s">
        <v>3965</v>
      </c>
      <c r="AH1376" t="s">
        <v>359</v>
      </c>
    </row>
    <row r="1377" spans="1:34" ht="15.75">
      <c r="A1377" s="29">
        <f t="shared" si="21"/>
        <v>13690</v>
      </c>
      <c r="B1377" s="2">
        <v>634</v>
      </c>
      <c r="C1377" s="2">
        <v>9</v>
      </c>
      <c r="D1377" s="2">
        <v>1817</v>
      </c>
      <c r="E1377">
        <v>5834</v>
      </c>
      <c r="G1377" s="1"/>
      <c r="H1377" t="s">
        <v>1540</v>
      </c>
      <c r="I1377" s="2">
        <v>13690</v>
      </c>
      <c r="J1377" s="2">
        <v>0</v>
      </c>
      <c r="K1377" s="2" t="s">
        <v>863</v>
      </c>
      <c r="L1377" s="43" t="s">
        <v>5775</v>
      </c>
      <c r="P1377" s="41">
        <v>17</v>
      </c>
      <c r="Q1377" s="41">
        <v>6</v>
      </c>
      <c r="R1377" s="41">
        <v>70</v>
      </c>
      <c r="S1377" t="s">
        <v>3324</v>
      </c>
      <c r="AH1377" t="s">
        <v>359</v>
      </c>
    </row>
    <row r="1378" spans="1:34" ht="15.75">
      <c r="A1378" s="29">
        <f t="shared" si="21"/>
        <v>2000</v>
      </c>
      <c r="B1378" s="2">
        <v>634</v>
      </c>
      <c r="C1378" s="2">
        <v>9</v>
      </c>
      <c r="D1378" s="2">
        <v>1817</v>
      </c>
      <c r="E1378">
        <v>5835</v>
      </c>
      <c r="G1378" s="1"/>
      <c r="H1378" t="s">
        <v>1541</v>
      </c>
      <c r="I1378" s="2">
        <v>2000</v>
      </c>
      <c r="J1378" s="2">
        <v>0</v>
      </c>
      <c r="K1378" s="2" t="s">
        <v>863</v>
      </c>
      <c r="L1378" s="43" t="s">
        <v>1001</v>
      </c>
      <c r="P1378" s="41">
        <v>2</v>
      </c>
      <c r="Q1378" s="41">
        <v>3</v>
      </c>
      <c r="R1378" s="41">
        <v>91</v>
      </c>
      <c r="S1378" t="s">
        <v>3329</v>
      </c>
      <c r="AH1378" t="s">
        <v>359</v>
      </c>
    </row>
    <row r="1379" spans="1:34" ht="15.75">
      <c r="A1379" s="29">
        <f t="shared" si="21"/>
        <v>70</v>
      </c>
      <c r="B1379" s="2">
        <v>634</v>
      </c>
      <c r="C1379" s="2">
        <v>9</v>
      </c>
      <c r="D1379" s="2">
        <v>1817</v>
      </c>
      <c r="E1379">
        <v>5836</v>
      </c>
      <c r="G1379" s="1"/>
      <c r="H1379" t="s">
        <v>1541</v>
      </c>
      <c r="I1379" s="2">
        <v>70</v>
      </c>
      <c r="J1379" s="2">
        <v>0</v>
      </c>
      <c r="K1379" s="2" t="s">
        <v>863</v>
      </c>
      <c r="L1379" s="43" t="s">
        <v>1001</v>
      </c>
      <c r="P1379" s="41">
        <v>12</v>
      </c>
      <c r="Q1379" s="41">
        <v>6</v>
      </c>
      <c r="R1379" s="41" t="s">
        <v>1547</v>
      </c>
      <c r="S1379" t="s">
        <v>3329</v>
      </c>
      <c r="AH1379" t="s">
        <v>359</v>
      </c>
    </row>
    <row r="1380" spans="1:34" ht="15.75">
      <c r="A1380" s="39">
        <f t="shared" si="21"/>
        <v>118</v>
      </c>
      <c r="B1380" s="2">
        <v>634</v>
      </c>
      <c r="C1380" s="2">
        <v>9</v>
      </c>
      <c r="D1380" s="2">
        <v>1817</v>
      </c>
      <c r="E1380">
        <v>5837</v>
      </c>
      <c r="G1380" s="1"/>
      <c r="H1380" t="s">
        <v>1541</v>
      </c>
      <c r="I1380" s="2">
        <v>118</v>
      </c>
      <c r="J1380" s="2">
        <v>0</v>
      </c>
      <c r="K1380" s="2" t="s">
        <v>863</v>
      </c>
      <c r="L1380" s="43" t="s">
        <v>1323</v>
      </c>
      <c r="P1380" s="41">
        <v>1</v>
      </c>
      <c r="Q1380" s="41">
        <v>11</v>
      </c>
      <c r="R1380" s="41" t="s">
        <v>1547</v>
      </c>
      <c r="S1380" t="s">
        <v>3343</v>
      </c>
      <c r="AH1380" t="s">
        <v>359</v>
      </c>
    </row>
    <row r="1381" spans="1:34" ht="15.75">
      <c r="A1381" s="29">
        <f t="shared" si="21"/>
        <v>23</v>
      </c>
      <c r="B1381" s="2">
        <v>634</v>
      </c>
      <c r="C1381" s="2">
        <v>9</v>
      </c>
      <c r="D1381" s="2">
        <v>1817</v>
      </c>
      <c r="E1381">
        <v>5838</v>
      </c>
      <c r="G1381" s="1"/>
      <c r="H1381" t="s">
        <v>1541</v>
      </c>
      <c r="I1381" s="2">
        <v>23</v>
      </c>
      <c r="J1381" s="2">
        <v>0</v>
      </c>
      <c r="K1381" s="2" t="s">
        <v>863</v>
      </c>
      <c r="L1381" s="43" t="s">
        <v>1323</v>
      </c>
      <c r="N1381" s="41" t="s">
        <v>3347</v>
      </c>
      <c r="P1381" s="41">
        <v>22</v>
      </c>
      <c r="Q1381" s="41">
        <v>4</v>
      </c>
      <c r="R1381" s="41" t="s">
        <v>1267</v>
      </c>
      <c r="S1381" t="s">
        <v>3343</v>
      </c>
      <c r="AH1381" t="s">
        <v>359</v>
      </c>
    </row>
    <row r="1382" spans="1:34" ht="15.75">
      <c r="A1382" s="29">
        <f t="shared" si="21"/>
        <v>1850</v>
      </c>
      <c r="B1382" s="2">
        <v>634</v>
      </c>
      <c r="C1382" s="2">
        <v>9</v>
      </c>
      <c r="D1382" s="2">
        <v>1817</v>
      </c>
      <c r="E1382">
        <v>5839</v>
      </c>
      <c r="G1382" s="1"/>
      <c r="H1382" t="s">
        <v>1541</v>
      </c>
      <c r="I1382" s="2">
        <f>702+1000+46+102</f>
        <v>1850</v>
      </c>
      <c r="J1382" s="2">
        <v>0</v>
      </c>
      <c r="K1382" s="2" t="s">
        <v>863</v>
      </c>
      <c r="L1382" s="43" t="s">
        <v>1323</v>
      </c>
      <c r="P1382" s="41">
        <v>22</v>
      </c>
      <c r="Q1382" s="41">
        <v>10</v>
      </c>
      <c r="R1382" s="41">
        <v>72</v>
      </c>
      <c r="S1382" t="s">
        <v>3329</v>
      </c>
      <c r="AH1382" t="s">
        <v>359</v>
      </c>
    </row>
    <row r="1383" spans="1:34" ht="15.75">
      <c r="A1383" s="29">
        <f t="shared" si="21"/>
        <v>252472</v>
      </c>
      <c r="B1383" s="2">
        <v>634</v>
      </c>
      <c r="C1383" s="2">
        <v>9</v>
      </c>
      <c r="D1383" s="2">
        <v>1817</v>
      </c>
      <c r="E1383">
        <v>5840</v>
      </c>
      <c r="G1383" s="1"/>
      <c r="H1383" t="s">
        <v>1540</v>
      </c>
      <c r="I1383" s="2">
        <f>24094+228378</f>
        <v>252472</v>
      </c>
      <c r="J1383" s="2">
        <v>0</v>
      </c>
      <c r="K1383" s="2" t="s">
        <v>863</v>
      </c>
      <c r="L1383" s="43" t="s">
        <v>3966</v>
      </c>
      <c r="M1383" s="41" t="s">
        <v>3967</v>
      </c>
      <c r="O1383" s="41" t="s">
        <v>3968</v>
      </c>
      <c r="P1383" s="41">
        <v>10</v>
      </c>
      <c r="Q1383" s="41">
        <v>5</v>
      </c>
      <c r="R1383" s="41">
        <v>60</v>
      </c>
      <c r="S1383" t="s">
        <v>3343</v>
      </c>
      <c r="T1383" t="s">
        <v>3969</v>
      </c>
      <c r="V1383" t="s">
        <v>3970</v>
      </c>
      <c r="AH1383" t="s">
        <v>359</v>
      </c>
    </row>
    <row r="1384" spans="1:34" ht="15.75">
      <c r="A1384" s="29">
        <f t="shared" si="21"/>
        <v>15</v>
      </c>
      <c r="B1384" s="2">
        <v>634</v>
      </c>
      <c r="C1384" s="2">
        <v>9</v>
      </c>
      <c r="D1384" s="2">
        <v>1817</v>
      </c>
      <c r="E1384">
        <v>5841</v>
      </c>
      <c r="G1384" s="1"/>
      <c r="H1384" t="s">
        <v>1540</v>
      </c>
      <c r="I1384" s="2">
        <v>15</v>
      </c>
      <c r="J1384" s="2">
        <v>0</v>
      </c>
      <c r="K1384" s="2" t="s">
        <v>863</v>
      </c>
      <c r="L1384" s="43" t="s">
        <v>1002</v>
      </c>
      <c r="P1384" s="41">
        <v>12</v>
      </c>
      <c r="Q1384" s="41">
        <v>7</v>
      </c>
      <c r="R1384" s="41">
        <v>68</v>
      </c>
      <c r="S1384" t="s">
        <v>3321</v>
      </c>
      <c r="AH1384" t="s">
        <v>359</v>
      </c>
    </row>
    <row r="1385" spans="1:34" ht="15.75">
      <c r="A1385" s="29">
        <f t="shared" si="21"/>
        <v>2123</v>
      </c>
      <c r="B1385" s="2">
        <v>634</v>
      </c>
      <c r="C1385" s="2">
        <v>9</v>
      </c>
      <c r="D1385" s="2">
        <v>1817</v>
      </c>
      <c r="E1385">
        <v>5842</v>
      </c>
      <c r="G1385" s="1"/>
      <c r="H1385" t="s">
        <v>1540</v>
      </c>
      <c r="I1385" s="2">
        <f>1600+523</f>
        <v>2123</v>
      </c>
      <c r="J1385" s="2">
        <v>0</v>
      </c>
      <c r="K1385" s="2" t="s">
        <v>863</v>
      </c>
      <c r="L1385" s="43" t="s">
        <v>1002</v>
      </c>
      <c r="P1385" s="41">
        <v>20</v>
      </c>
      <c r="Q1385" s="41">
        <v>10</v>
      </c>
      <c r="R1385" s="41">
        <v>62</v>
      </c>
      <c r="S1385" t="s">
        <v>3321</v>
      </c>
      <c r="AH1385" t="s">
        <v>359</v>
      </c>
    </row>
    <row r="1386" spans="1:34" ht="15.75">
      <c r="A1386" s="29">
        <f t="shared" si="21"/>
        <v>7894</v>
      </c>
      <c r="B1386" s="2">
        <v>634</v>
      </c>
      <c r="C1386" s="2">
        <v>9</v>
      </c>
      <c r="D1386" s="2">
        <v>1817</v>
      </c>
      <c r="E1386">
        <v>5843</v>
      </c>
      <c r="G1386" s="1"/>
      <c r="H1386" t="s">
        <v>1540</v>
      </c>
      <c r="I1386" s="2">
        <v>7894</v>
      </c>
      <c r="J1386" s="2">
        <v>0</v>
      </c>
      <c r="K1386" s="2" t="s">
        <v>863</v>
      </c>
      <c r="L1386" s="43" t="s">
        <v>1003</v>
      </c>
      <c r="P1386" s="41">
        <v>27</v>
      </c>
      <c r="Q1386" s="41">
        <v>12</v>
      </c>
      <c r="R1386" s="41">
        <v>29</v>
      </c>
      <c r="S1386" t="s">
        <v>3321</v>
      </c>
      <c r="AH1386" t="s">
        <v>359</v>
      </c>
    </row>
    <row r="1387" spans="1:34" ht="15.75">
      <c r="A1387" s="29">
        <f t="shared" si="21"/>
        <v>5290</v>
      </c>
      <c r="B1387" s="2">
        <v>634</v>
      </c>
      <c r="C1387" s="2">
        <v>9</v>
      </c>
      <c r="D1387" s="2">
        <v>1817</v>
      </c>
      <c r="E1387">
        <v>5844</v>
      </c>
      <c r="G1387" s="1"/>
      <c r="H1387" t="s">
        <v>1541</v>
      </c>
      <c r="I1387" s="2">
        <v>5290</v>
      </c>
      <c r="J1387" s="2">
        <v>0</v>
      </c>
      <c r="K1387" s="2" t="s">
        <v>863</v>
      </c>
      <c r="L1387" s="43" t="s">
        <v>1308</v>
      </c>
      <c r="P1387" s="41">
        <v>22</v>
      </c>
      <c r="Q1387" s="41">
        <v>4</v>
      </c>
      <c r="R1387" s="41">
        <v>60</v>
      </c>
      <c r="S1387" t="s">
        <v>3321</v>
      </c>
      <c r="AH1387" t="s">
        <v>359</v>
      </c>
    </row>
    <row r="1388" spans="1:34" ht="15.75">
      <c r="A1388" s="29">
        <f t="shared" si="21"/>
        <v>14793</v>
      </c>
      <c r="B1388" s="2">
        <v>634</v>
      </c>
      <c r="C1388" s="2">
        <v>9</v>
      </c>
      <c r="D1388" s="2">
        <v>1817</v>
      </c>
      <c r="E1388">
        <v>5845</v>
      </c>
      <c r="G1388" s="1"/>
      <c r="H1388" t="s">
        <v>1541</v>
      </c>
      <c r="I1388" s="2">
        <v>3743</v>
      </c>
      <c r="J1388" s="2">
        <v>1105</v>
      </c>
      <c r="K1388" s="2" t="s">
        <v>863</v>
      </c>
      <c r="L1388" s="43" t="s">
        <v>1308</v>
      </c>
      <c r="P1388" s="41">
        <v>12</v>
      </c>
      <c r="Q1388" s="41">
        <v>3</v>
      </c>
      <c r="R1388" s="41">
        <v>30</v>
      </c>
      <c r="S1388" t="s">
        <v>3321</v>
      </c>
      <c r="X1388">
        <v>0.5</v>
      </c>
      <c r="Y1388" t="s">
        <v>3971</v>
      </c>
      <c r="AH1388" t="s">
        <v>359</v>
      </c>
    </row>
    <row r="1389" spans="1:34" ht="15.75">
      <c r="A1389" s="29">
        <f t="shared" si="21"/>
        <v>405</v>
      </c>
      <c r="B1389" s="2">
        <v>635</v>
      </c>
      <c r="C1389" s="2">
        <v>9</v>
      </c>
      <c r="D1389" s="2">
        <v>1817</v>
      </c>
      <c r="E1389">
        <v>5888</v>
      </c>
      <c r="G1389" s="1"/>
      <c r="H1389" t="s">
        <v>1540</v>
      </c>
      <c r="I1389" s="2">
        <v>405</v>
      </c>
      <c r="J1389" s="2">
        <v>0</v>
      </c>
      <c r="K1389" s="2" t="s">
        <v>863</v>
      </c>
      <c r="L1389" s="43" t="s">
        <v>3972</v>
      </c>
      <c r="P1389" s="41">
        <v>22</v>
      </c>
      <c r="Q1389" s="41">
        <v>11</v>
      </c>
      <c r="R1389" s="41" t="s">
        <v>1547</v>
      </c>
      <c r="S1389" t="s">
        <v>3321</v>
      </c>
      <c r="U1389" t="s">
        <v>3973</v>
      </c>
      <c r="AH1389" t="s">
        <v>359</v>
      </c>
    </row>
    <row r="1390" spans="1:34" ht="15.75">
      <c r="A1390" s="29">
        <f t="shared" si="21"/>
        <v>4437</v>
      </c>
      <c r="B1390" s="2">
        <v>635</v>
      </c>
      <c r="C1390" s="2">
        <v>9</v>
      </c>
      <c r="D1390" s="2">
        <v>1817</v>
      </c>
      <c r="E1390">
        <v>5889</v>
      </c>
      <c r="G1390" s="1"/>
      <c r="H1390" t="s">
        <v>1540</v>
      </c>
      <c r="I1390" s="2">
        <v>4437</v>
      </c>
      <c r="J1390" s="2">
        <v>0</v>
      </c>
      <c r="K1390" s="2" t="s">
        <v>863</v>
      </c>
      <c r="L1390" s="43" t="s">
        <v>1311</v>
      </c>
      <c r="P1390" s="41">
        <v>8</v>
      </c>
      <c r="Q1390" s="41">
        <v>11</v>
      </c>
      <c r="R1390" s="41">
        <v>29</v>
      </c>
      <c r="S1390" t="s">
        <v>3321</v>
      </c>
      <c r="AH1390" t="s">
        <v>359</v>
      </c>
    </row>
    <row r="1391" spans="1:34" ht="15.75">
      <c r="A1391" s="29">
        <f t="shared" si="21"/>
        <v>34922</v>
      </c>
      <c r="B1391" s="2">
        <v>635</v>
      </c>
      <c r="C1391" s="2">
        <v>9</v>
      </c>
      <c r="D1391" s="2">
        <v>1817</v>
      </c>
      <c r="E1391">
        <v>5890</v>
      </c>
      <c r="G1391" s="1"/>
      <c r="H1391" t="s">
        <v>1541</v>
      </c>
      <c r="I1391" s="2">
        <v>34922</v>
      </c>
      <c r="J1391" s="2">
        <v>0</v>
      </c>
      <c r="K1391" s="2" t="s">
        <v>863</v>
      </c>
      <c r="L1391" s="43" t="s">
        <v>3974</v>
      </c>
      <c r="M1391" s="41" t="s">
        <v>3976</v>
      </c>
      <c r="N1391" s="41" t="s">
        <v>3977</v>
      </c>
      <c r="O1391" s="41" t="s">
        <v>3978</v>
      </c>
      <c r="P1391" s="41">
        <v>29</v>
      </c>
      <c r="Q1391" s="41">
        <v>4</v>
      </c>
      <c r="R1391" s="41">
        <v>45</v>
      </c>
      <c r="S1391" t="s">
        <v>3975</v>
      </c>
      <c r="T1391" t="s">
        <v>4645</v>
      </c>
      <c r="V1391" t="s">
        <v>3201</v>
      </c>
      <c r="AH1391" t="s">
        <v>359</v>
      </c>
    </row>
    <row r="1392" spans="1:34" ht="15.75">
      <c r="A1392" s="29">
        <f t="shared" si="21"/>
        <v>119</v>
      </c>
      <c r="B1392" s="2">
        <v>635</v>
      </c>
      <c r="C1392" s="2">
        <v>9</v>
      </c>
      <c r="D1392" s="2">
        <v>1817</v>
      </c>
      <c r="E1392">
        <v>5891</v>
      </c>
      <c r="G1392" s="1"/>
      <c r="H1392" t="s">
        <v>1541</v>
      </c>
      <c r="I1392" s="2">
        <v>119</v>
      </c>
      <c r="J1392" s="2">
        <v>0</v>
      </c>
      <c r="K1392" s="2" t="s">
        <v>863</v>
      </c>
      <c r="L1392" s="43" t="s">
        <v>1320</v>
      </c>
      <c r="P1392" s="41">
        <v>28</v>
      </c>
      <c r="Q1392" s="41">
        <v>9</v>
      </c>
      <c r="R1392" s="41">
        <v>54</v>
      </c>
      <c r="S1392" t="s">
        <v>3324</v>
      </c>
      <c r="AH1392" t="s">
        <v>359</v>
      </c>
    </row>
    <row r="1393" spans="1:34" ht="15.75">
      <c r="A1393" s="29">
        <f t="shared" si="21"/>
        <v>5659</v>
      </c>
      <c r="B1393" s="2">
        <v>635</v>
      </c>
      <c r="C1393" s="2">
        <v>9</v>
      </c>
      <c r="D1393" s="2">
        <v>1817</v>
      </c>
      <c r="E1393">
        <v>5892</v>
      </c>
      <c r="G1393" s="1"/>
      <c r="H1393" t="s">
        <v>1541</v>
      </c>
      <c r="I1393" s="2">
        <v>5659</v>
      </c>
      <c r="J1393" s="2">
        <v>0</v>
      </c>
      <c r="K1393" s="2" t="s">
        <v>863</v>
      </c>
      <c r="L1393" s="43" t="s">
        <v>1315</v>
      </c>
      <c r="P1393" s="41">
        <v>5</v>
      </c>
      <c r="Q1393" s="41">
        <v>4</v>
      </c>
      <c r="R1393" s="41">
        <v>22</v>
      </c>
      <c r="S1393" t="s">
        <v>3321</v>
      </c>
      <c r="AH1393" t="s">
        <v>359</v>
      </c>
    </row>
    <row r="1394" spans="1:34" ht="15.75">
      <c r="A1394" s="29">
        <f t="shared" si="21"/>
        <v>23000</v>
      </c>
      <c r="B1394" s="8">
        <v>635</v>
      </c>
      <c r="C1394" s="8">
        <v>9</v>
      </c>
      <c r="D1394" s="2">
        <v>1817</v>
      </c>
      <c r="E1394">
        <v>5893</v>
      </c>
      <c r="F1394" s="9"/>
      <c r="G1394" s="7"/>
      <c r="H1394" s="9" t="s">
        <v>1541</v>
      </c>
      <c r="I1394" s="8">
        <v>0</v>
      </c>
      <c r="J1394" s="8">
        <v>2300</v>
      </c>
      <c r="K1394" s="2" t="s">
        <v>863</v>
      </c>
      <c r="L1394" s="43" t="s">
        <v>3979</v>
      </c>
      <c r="M1394" s="43" t="s">
        <v>1704</v>
      </c>
      <c r="N1394" s="43" t="s">
        <v>3981</v>
      </c>
      <c r="O1394" s="41" t="s">
        <v>3982</v>
      </c>
      <c r="P1394" s="41">
        <v>27</v>
      </c>
      <c r="Q1394" s="41">
        <v>8</v>
      </c>
      <c r="R1394" s="41" t="s">
        <v>1547</v>
      </c>
      <c r="S1394" t="s">
        <v>3980</v>
      </c>
      <c r="T1394" t="s">
        <v>3983</v>
      </c>
      <c r="V1394" t="s">
        <v>3087</v>
      </c>
      <c r="X1394">
        <v>0.5</v>
      </c>
      <c r="Y1394" t="s">
        <v>3984</v>
      </c>
      <c r="AH1394" t="s">
        <v>359</v>
      </c>
    </row>
    <row r="1395" spans="1:34" ht="15.75">
      <c r="A1395" s="39">
        <f t="shared" si="21"/>
        <v>53</v>
      </c>
      <c r="B1395" s="2">
        <v>635</v>
      </c>
      <c r="C1395" s="2">
        <v>9</v>
      </c>
      <c r="D1395" s="2">
        <v>1817</v>
      </c>
      <c r="E1395">
        <v>5894</v>
      </c>
      <c r="G1395" s="1"/>
      <c r="H1395" t="s">
        <v>1541</v>
      </c>
      <c r="I1395" s="2">
        <v>53</v>
      </c>
      <c r="J1395" s="2">
        <v>0</v>
      </c>
      <c r="K1395" s="2" t="s">
        <v>863</v>
      </c>
      <c r="L1395" s="43" t="s">
        <v>1365</v>
      </c>
      <c r="P1395" s="41">
        <v>29</v>
      </c>
      <c r="Q1395" s="41">
        <v>11</v>
      </c>
      <c r="R1395" s="41">
        <v>37</v>
      </c>
      <c r="S1395" t="s">
        <v>3321</v>
      </c>
      <c r="AH1395" t="s">
        <v>359</v>
      </c>
    </row>
    <row r="1396" spans="1:34" ht="15.75">
      <c r="A1396" s="39">
        <f t="shared" si="21"/>
        <v>0</v>
      </c>
      <c r="B1396" s="2">
        <v>635</v>
      </c>
      <c r="C1396" s="2">
        <v>9</v>
      </c>
      <c r="D1396" s="2">
        <v>1817</v>
      </c>
      <c r="E1396">
        <v>5896</v>
      </c>
      <c r="G1396" s="1"/>
      <c r="H1396" t="s">
        <v>1549</v>
      </c>
      <c r="I1396" s="2">
        <v>0</v>
      </c>
      <c r="J1396" s="2">
        <v>0</v>
      </c>
      <c r="K1396" s="2" t="s">
        <v>863</v>
      </c>
      <c r="L1396" s="43" t="s">
        <v>3989</v>
      </c>
      <c r="P1396" s="41">
        <v>23</v>
      </c>
      <c r="Q1396" s="41">
        <v>1</v>
      </c>
      <c r="R1396" s="41">
        <v>64</v>
      </c>
      <c r="S1396" t="s">
        <v>3321</v>
      </c>
      <c r="V1396" t="s">
        <v>3564</v>
      </c>
      <c r="AH1396" t="s">
        <v>359</v>
      </c>
    </row>
    <row r="1397" spans="1:34" ht="15.75">
      <c r="A1397" s="29">
        <f t="shared" si="21"/>
        <v>19</v>
      </c>
      <c r="B1397" s="2">
        <v>636</v>
      </c>
      <c r="C1397" s="2">
        <v>9</v>
      </c>
      <c r="D1397" s="2">
        <v>1817</v>
      </c>
      <c r="E1397">
        <v>5921</v>
      </c>
      <c r="G1397" s="1"/>
      <c r="H1397" t="s">
        <v>1541</v>
      </c>
      <c r="I1397" s="2">
        <v>19</v>
      </c>
      <c r="J1397" s="2">
        <v>0</v>
      </c>
      <c r="K1397" s="2" t="s">
        <v>863</v>
      </c>
      <c r="L1397" s="43" t="s">
        <v>1004</v>
      </c>
      <c r="P1397" s="41">
        <v>3</v>
      </c>
      <c r="Q1397" s="41">
        <v>4</v>
      </c>
      <c r="R1397" s="41">
        <v>45</v>
      </c>
      <c r="S1397" t="s">
        <v>3329</v>
      </c>
      <c r="AH1397" t="s">
        <v>359</v>
      </c>
    </row>
    <row r="1398" spans="1:34" ht="15.75">
      <c r="A1398" s="29">
        <f t="shared" si="21"/>
        <v>100</v>
      </c>
      <c r="B1398" s="2">
        <v>636</v>
      </c>
      <c r="C1398" s="2">
        <v>9</v>
      </c>
      <c r="D1398" s="2">
        <v>1817</v>
      </c>
      <c r="E1398">
        <v>5922</v>
      </c>
      <c r="G1398" s="1"/>
      <c r="H1398" t="s">
        <v>1540</v>
      </c>
      <c r="I1398" s="2">
        <v>100</v>
      </c>
      <c r="J1398" s="2">
        <v>0</v>
      </c>
      <c r="K1398" s="2" t="s">
        <v>863</v>
      </c>
      <c r="L1398" s="43" t="s">
        <v>1005</v>
      </c>
      <c r="P1398" s="41">
        <v>28</v>
      </c>
      <c r="Q1398" s="41">
        <v>1</v>
      </c>
      <c r="R1398" s="41">
        <v>27</v>
      </c>
      <c r="S1398" t="s">
        <v>3343</v>
      </c>
      <c r="AH1398" t="s">
        <v>359</v>
      </c>
    </row>
    <row r="1399" spans="1:34" ht="15.75">
      <c r="A1399" s="29">
        <f t="shared" si="21"/>
        <v>25</v>
      </c>
      <c r="B1399" s="2">
        <v>636</v>
      </c>
      <c r="C1399" s="2">
        <v>9</v>
      </c>
      <c r="D1399" s="2">
        <v>1817</v>
      </c>
      <c r="E1399">
        <v>5923</v>
      </c>
      <c r="G1399" s="1"/>
      <c r="H1399" t="s">
        <v>1540</v>
      </c>
      <c r="I1399" s="2">
        <v>25</v>
      </c>
      <c r="J1399" s="2">
        <v>0</v>
      </c>
      <c r="K1399" s="2" t="s">
        <v>863</v>
      </c>
      <c r="L1399" s="43" t="s">
        <v>1005</v>
      </c>
      <c r="P1399" s="41">
        <v>12</v>
      </c>
      <c r="Q1399" s="41">
        <v>6</v>
      </c>
      <c r="R1399" s="41">
        <v>44</v>
      </c>
      <c r="S1399" t="s">
        <v>3321</v>
      </c>
      <c r="AH1399" t="s">
        <v>359</v>
      </c>
    </row>
    <row r="1400" spans="1:34" ht="15.75">
      <c r="A1400" s="29">
        <f t="shared" si="21"/>
        <v>38</v>
      </c>
      <c r="B1400" s="2">
        <v>636</v>
      </c>
      <c r="C1400" s="2">
        <v>9</v>
      </c>
      <c r="D1400" s="2">
        <v>1817</v>
      </c>
      <c r="E1400">
        <v>5924</v>
      </c>
      <c r="G1400" s="1"/>
      <c r="H1400" t="s">
        <v>1541</v>
      </c>
      <c r="I1400" s="2">
        <v>38</v>
      </c>
      <c r="J1400" s="2">
        <v>0</v>
      </c>
      <c r="K1400" s="2" t="s">
        <v>863</v>
      </c>
      <c r="L1400" s="43" t="s">
        <v>3990</v>
      </c>
      <c r="P1400" s="41">
        <v>31</v>
      </c>
      <c r="Q1400" s="41">
        <v>3</v>
      </c>
      <c r="R1400" s="41">
        <v>66</v>
      </c>
      <c r="S1400" t="s">
        <v>3329</v>
      </c>
      <c r="AH1400" t="s">
        <v>359</v>
      </c>
    </row>
    <row r="1401" spans="1:34" ht="15.75">
      <c r="A1401" s="29">
        <f t="shared" si="21"/>
        <v>15</v>
      </c>
      <c r="B1401" s="2">
        <v>636</v>
      </c>
      <c r="C1401" s="2">
        <v>9</v>
      </c>
      <c r="D1401" s="2">
        <v>1817</v>
      </c>
      <c r="E1401">
        <v>5925</v>
      </c>
      <c r="G1401" s="1"/>
      <c r="H1401" t="s">
        <v>1541</v>
      </c>
      <c r="I1401" s="2">
        <v>15</v>
      </c>
      <c r="J1401" s="2">
        <v>0</v>
      </c>
      <c r="K1401" s="2" t="s">
        <v>863</v>
      </c>
      <c r="L1401" s="43" t="s">
        <v>3990</v>
      </c>
      <c r="P1401" s="41">
        <v>18</v>
      </c>
      <c r="Q1401" s="41">
        <v>3</v>
      </c>
      <c r="R1401" s="41" t="s">
        <v>1547</v>
      </c>
      <c r="S1401" t="s">
        <v>3329</v>
      </c>
      <c r="U1401" t="s">
        <v>3635</v>
      </c>
      <c r="AH1401" t="s">
        <v>359</v>
      </c>
    </row>
    <row r="1402" spans="1:34" ht="15.75">
      <c r="A1402" s="29">
        <f t="shared" si="21"/>
        <v>233</v>
      </c>
      <c r="B1402" s="2">
        <v>636</v>
      </c>
      <c r="C1402" s="2">
        <v>9</v>
      </c>
      <c r="D1402" s="2">
        <v>1817</v>
      </c>
      <c r="E1402">
        <v>5926</v>
      </c>
      <c r="G1402" s="1"/>
      <c r="H1402" t="s">
        <v>1541</v>
      </c>
      <c r="I1402" s="2">
        <v>233</v>
      </c>
      <c r="J1402" s="2">
        <v>0</v>
      </c>
      <c r="K1402" s="2" t="s">
        <v>863</v>
      </c>
      <c r="L1402" s="43" t="s">
        <v>1372</v>
      </c>
      <c r="P1402" s="41">
        <v>13</v>
      </c>
      <c r="Q1402" s="41">
        <v>5</v>
      </c>
      <c r="R1402" s="41">
        <v>54</v>
      </c>
      <c r="S1402" t="s">
        <v>3321</v>
      </c>
      <c r="AH1402" t="s">
        <v>359</v>
      </c>
    </row>
    <row r="1403" spans="1:34" ht="15.75">
      <c r="A1403" s="29">
        <f t="shared" si="21"/>
        <v>75</v>
      </c>
      <c r="B1403" s="2">
        <v>636</v>
      </c>
      <c r="C1403" s="2">
        <v>9</v>
      </c>
      <c r="D1403" s="2">
        <v>1817</v>
      </c>
      <c r="E1403">
        <v>5927</v>
      </c>
      <c r="G1403" s="1"/>
      <c r="H1403" t="s">
        <v>1541</v>
      </c>
      <c r="I1403" s="2">
        <v>75</v>
      </c>
      <c r="J1403" s="2">
        <v>0</v>
      </c>
      <c r="K1403" s="2" t="s">
        <v>863</v>
      </c>
      <c r="L1403" s="43" t="s">
        <v>1006</v>
      </c>
      <c r="P1403" s="41">
        <v>28</v>
      </c>
      <c r="Q1403" s="41">
        <v>8</v>
      </c>
      <c r="R1403" s="41" t="s">
        <v>1547</v>
      </c>
      <c r="S1403" t="s">
        <v>3329</v>
      </c>
      <c r="AH1403" t="s">
        <v>359</v>
      </c>
    </row>
    <row r="1404" spans="1:34" ht="15.75">
      <c r="A1404" s="29">
        <f t="shared" si="21"/>
        <v>99</v>
      </c>
      <c r="B1404" s="2">
        <v>636</v>
      </c>
      <c r="C1404" s="2">
        <v>9</v>
      </c>
      <c r="D1404" s="2">
        <v>1817</v>
      </c>
      <c r="E1404">
        <v>5928</v>
      </c>
      <c r="G1404" s="1"/>
      <c r="H1404" t="s">
        <v>1541</v>
      </c>
      <c r="I1404" s="2">
        <v>99</v>
      </c>
      <c r="J1404" s="2">
        <v>0</v>
      </c>
      <c r="K1404" s="2" t="s">
        <v>863</v>
      </c>
      <c r="L1404" s="43" t="s">
        <v>1006</v>
      </c>
      <c r="P1404" s="41">
        <v>8</v>
      </c>
      <c r="Q1404" s="41">
        <v>12</v>
      </c>
      <c r="R1404" s="41">
        <v>68</v>
      </c>
      <c r="S1404" t="s">
        <v>3329</v>
      </c>
      <c r="AH1404" t="s">
        <v>359</v>
      </c>
    </row>
    <row r="1405" spans="1:34" ht="15.75">
      <c r="A1405" s="29">
        <f t="shared" si="21"/>
        <v>108</v>
      </c>
      <c r="B1405" s="2">
        <v>636</v>
      </c>
      <c r="C1405" s="2">
        <v>9</v>
      </c>
      <c r="D1405" s="2">
        <v>1817</v>
      </c>
      <c r="E1405">
        <v>5929</v>
      </c>
      <c r="G1405" s="1"/>
      <c r="H1405" t="s">
        <v>1540</v>
      </c>
      <c r="I1405" s="2">
        <v>108</v>
      </c>
      <c r="J1405" s="2">
        <v>0</v>
      </c>
      <c r="K1405" s="2" t="s">
        <v>863</v>
      </c>
      <c r="L1405" s="43" t="s">
        <v>1321</v>
      </c>
      <c r="P1405" s="41">
        <v>3</v>
      </c>
      <c r="Q1405" s="41">
        <v>12</v>
      </c>
      <c r="R1405" s="41">
        <v>53</v>
      </c>
      <c r="S1405" t="s">
        <v>3321</v>
      </c>
      <c r="AH1405" t="s">
        <v>359</v>
      </c>
    </row>
    <row r="1406" spans="1:34" ht="15.75">
      <c r="A1406" s="29">
        <f t="shared" si="21"/>
        <v>49</v>
      </c>
      <c r="B1406" s="2">
        <v>636</v>
      </c>
      <c r="C1406" s="2">
        <v>9</v>
      </c>
      <c r="D1406" s="2">
        <v>1817</v>
      </c>
      <c r="E1406">
        <v>5930</v>
      </c>
      <c r="G1406" s="1"/>
      <c r="H1406" t="s">
        <v>1540</v>
      </c>
      <c r="I1406" s="2">
        <v>49</v>
      </c>
      <c r="J1406" s="2">
        <v>0</v>
      </c>
      <c r="K1406" s="2" t="s">
        <v>863</v>
      </c>
      <c r="L1406" s="43" t="s">
        <v>2777</v>
      </c>
      <c r="P1406" s="41">
        <v>5</v>
      </c>
      <c r="Q1406" s="41">
        <v>4</v>
      </c>
      <c r="R1406" s="41">
        <v>42</v>
      </c>
      <c r="S1406" t="s">
        <v>3321</v>
      </c>
      <c r="AH1406" t="s">
        <v>359</v>
      </c>
    </row>
    <row r="1407" spans="1:34" ht="15.75">
      <c r="A1407" s="29">
        <f t="shared" si="21"/>
        <v>151</v>
      </c>
      <c r="B1407" s="2">
        <v>636</v>
      </c>
      <c r="C1407" s="2">
        <v>9</v>
      </c>
      <c r="D1407" s="2">
        <v>1817</v>
      </c>
      <c r="E1407">
        <v>5931</v>
      </c>
      <c r="G1407" s="1"/>
      <c r="H1407" t="s">
        <v>1540</v>
      </c>
      <c r="I1407" s="2">
        <v>151</v>
      </c>
      <c r="J1407" s="2">
        <v>0</v>
      </c>
      <c r="K1407" s="2" t="s">
        <v>863</v>
      </c>
      <c r="L1407" s="43" t="s">
        <v>2777</v>
      </c>
      <c r="P1407" s="41">
        <v>24</v>
      </c>
      <c r="Q1407" s="41">
        <v>10</v>
      </c>
      <c r="R1407" s="41" t="s">
        <v>1547</v>
      </c>
      <c r="S1407" t="s">
        <v>3321</v>
      </c>
      <c r="AH1407" t="s">
        <v>359</v>
      </c>
    </row>
    <row r="1408" spans="1:34" ht="15.75">
      <c r="A1408" s="29">
        <f t="shared" si="21"/>
        <v>1600</v>
      </c>
      <c r="B1408" s="2">
        <v>636</v>
      </c>
      <c r="C1408" s="2">
        <v>9</v>
      </c>
      <c r="D1408" s="2">
        <v>1817</v>
      </c>
      <c r="E1408">
        <v>5932</v>
      </c>
      <c r="G1408" s="1"/>
      <c r="H1408" t="s">
        <v>1541</v>
      </c>
      <c r="I1408" s="2">
        <v>1600</v>
      </c>
      <c r="J1408" s="2">
        <v>0</v>
      </c>
      <c r="K1408" s="2" t="s">
        <v>863</v>
      </c>
      <c r="L1408" s="43" t="s">
        <v>2777</v>
      </c>
      <c r="P1408" s="41">
        <v>2</v>
      </c>
      <c r="Q1408" s="41">
        <v>6</v>
      </c>
      <c r="R1408" s="41" t="s">
        <v>1547</v>
      </c>
      <c r="S1408" t="s">
        <v>3321</v>
      </c>
      <c r="U1408" t="s">
        <v>3991</v>
      </c>
      <c r="AH1408" t="s">
        <v>359</v>
      </c>
    </row>
    <row r="1409" spans="1:34" ht="15.75">
      <c r="A1409" s="29">
        <f t="shared" si="21"/>
        <v>19</v>
      </c>
      <c r="B1409" s="2">
        <v>636</v>
      </c>
      <c r="C1409" s="2">
        <v>9</v>
      </c>
      <c r="D1409" s="2">
        <v>1817</v>
      </c>
      <c r="E1409">
        <v>5933</v>
      </c>
      <c r="G1409" s="1"/>
      <c r="H1409" t="s">
        <v>1540</v>
      </c>
      <c r="I1409" s="2">
        <v>19</v>
      </c>
      <c r="J1409" s="2">
        <v>0</v>
      </c>
      <c r="K1409" s="2" t="s">
        <v>863</v>
      </c>
      <c r="L1409" s="43" t="s">
        <v>3992</v>
      </c>
      <c r="P1409" s="41">
        <v>21</v>
      </c>
      <c r="Q1409" s="41">
        <v>12</v>
      </c>
      <c r="R1409" s="41">
        <v>75</v>
      </c>
      <c r="S1409" t="s">
        <v>3343</v>
      </c>
      <c r="AH1409" t="s">
        <v>359</v>
      </c>
    </row>
    <row r="1410" spans="1:34" ht="15.75">
      <c r="A1410" s="29">
        <f aca="true" t="shared" si="22" ref="A1410:A1473">I1410+J1410*20*X1410</f>
        <v>1669</v>
      </c>
      <c r="B1410" s="2">
        <v>636</v>
      </c>
      <c r="C1410" s="2">
        <v>9</v>
      </c>
      <c r="D1410" s="2">
        <v>1817</v>
      </c>
      <c r="E1410">
        <v>5934</v>
      </c>
      <c r="G1410" s="1"/>
      <c r="H1410" t="s">
        <v>1541</v>
      </c>
      <c r="I1410" s="2">
        <v>1669</v>
      </c>
      <c r="J1410" s="2">
        <v>0</v>
      </c>
      <c r="K1410" s="2" t="s">
        <v>863</v>
      </c>
      <c r="L1410" s="43" t="s">
        <v>3993</v>
      </c>
      <c r="P1410" s="41">
        <v>21</v>
      </c>
      <c r="Q1410" s="41">
        <v>9</v>
      </c>
      <c r="R1410" s="41">
        <v>48</v>
      </c>
      <c r="S1410" t="s">
        <v>3321</v>
      </c>
      <c r="AH1410" t="s">
        <v>359</v>
      </c>
    </row>
    <row r="1411" spans="1:34" ht="15.75">
      <c r="A1411" s="29">
        <f t="shared" si="22"/>
        <v>6884</v>
      </c>
      <c r="B1411" s="2">
        <v>636</v>
      </c>
      <c r="C1411" s="2">
        <v>9</v>
      </c>
      <c r="D1411" s="2">
        <v>1817</v>
      </c>
      <c r="E1411">
        <v>5935</v>
      </c>
      <c r="G1411" s="1"/>
      <c r="H1411" t="s">
        <v>1540</v>
      </c>
      <c r="I1411" s="2">
        <v>6884</v>
      </c>
      <c r="J1411" s="2">
        <v>0</v>
      </c>
      <c r="K1411" s="2" t="s">
        <v>863</v>
      </c>
      <c r="L1411" s="43" t="s">
        <v>5701</v>
      </c>
      <c r="P1411" s="41">
        <v>23</v>
      </c>
      <c r="Q1411" s="41">
        <v>6</v>
      </c>
      <c r="R1411" s="41">
        <v>49</v>
      </c>
      <c r="S1411" t="s">
        <v>3321</v>
      </c>
      <c r="AH1411" t="s">
        <v>359</v>
      </c>
    </row>
    <row r="1412" spans="1:34" ht="15.75">
      <c r="A1412" s="39">
        <f t="shared" si="22"/>
        <v>1272</v>
      </c>
      <c r="B1412" s="2">
        <v>636</v>
      </c>
      <c r="C1412" s="2">
        <v>9</v>
      </c>
      <c r="D1412" s="2">
        <v>1817</v>
      </c>
      <c r="E1412">
        <v>5936</v>
      </c>
      <c r="G1412" s="1"/>
      <c r="H1412" t="s">
        <v>1540</v>
      </c>
      <c r="I1412" s="2">
        <v>1272</v>
      </c>
      <c r="J1412" s="2">
        <v>0</v>
      </c>
      <c r="K1412" s="2" t="s">
        <v>863</v>
      </c>
      <c r="L1412" s="43" t="s">
        <v>5701</v>
      </c>
      <c r="P1412" s="41">
        <v>8</v>
      </c>
      <c r="Q1412" s="41">
        <v>5</v>
      </c>
      <c r="R1412" s="41">
        <v>46</v>
      </c>
      <c r="S1412" t="s">
        <v>3321</v>
      </c>
      <c r="U1412" t="s">
        <v>3994</v>
      </c>
      <c r="AH1412" t="s">
        <v>359</v>
      </c>
    </row>
    <row r="1413" spans="1:34" ht="15.75">
      <c r="A1413" s="29">
        <f t="shared" si="22"/>
        <v>50</v>
      </c>
      <c r="B1413" s="2">
        <v>636</v>
      </c>
      <c r="C1413" s="2">
        <v>9</v>
      </c>
      <c r="D1413" s="2">
        <v>1817</v>
      </c>
      <c r="E1413">
        <v>5938</v>
      </c>
      <c r="G1413" s="1"/>
      <c r="H1413" t="s">
        <v>850</v>
      </c>
      <c r="I1413" s="2">
        <v>50</v>
      </c>
      <c r="J1413" s="2">
        <v>0</v>
      </c>
      <c r="K1413" s="2" t="s">
        <v>863</v>
      </c>
      <c r="L1413" s="43" t="s">
        <v>3996</v>
      </c>
      <c r="P1413" s="41">
        <v>18</v>
      </c>
      <c r="Q1413" s="41">
        <v>3</v>
      </c>
      <c r="R1413" s="41">
        <v>46</v>
      </c>
      <c r="S1413" t="s">
        <v>3997</v>
      </c>
      <c r="AH1413" t="s">
        <v>359</v>
      </c>
    </row>
    <row r="1414" spans="1:34" ht="15.75">
      <c r="A1414" s="29">
        <f t="shared" si="22"/>
        <v>218</v>
      </c>
      <c r="B1414" s="2">
        <v>637</v>
      </c>
      <c r="C1414" s="2">
        <v>9</v>
      </c>
      <c r="D1414" s="2">
        <v>1817</v>
      </c>
      <c r="E1414">
        <v>5964</v>
      </c>
      <c r="G1414" s="1"/>
      <c r="H1414" t="s">
        <v>1541</v>
      </c>
      <c r="I1414" s="2">
        <v>218</v>
      </c>
      <c r="J1414" s="2">
        <v>0</v>
      </c>
      <c r="K1414" s="2" t="s">
        <v>863</v>
      </c>
      <c r="L1414" s="43" t="s">
        <v>3998</v>
      </c>
      <c r="P1414" s="41">
        <v>10</v>
      </c>
      <c r="Q1414" s="41">
        <v>5</v>
      </c>
      <c r="R1414" s="41" t="s">
        <v>1547</v>
      </c>
      <c r="S1414" t="s">
        <v>3321</v>
      </c>
      <c r="U1414" t="s">
        <v>3999</v>
      </c>
      <c r="AH1414" t="s">
        <v>359</v>
      </c>
    </row>
    <row r="1415" spans="1:34" ht="15.75">
      <c r="A1415" s="29">
        <f t="shared" si="22"/>
        <v>4040</v>
      </c>
      <c r="B1415" s="2">
        <v>407</v>
      </c>
      <c r="C1415" s="2">
        <v>9</v>
      </c>
      <c r="D1415" s="2">
        <v>1817</v>
      </c>
      <c r="E1415">
        <v>5965</v>
      </c>
      <c r="G1415" s="1"/>
      <c r="H1415" t="s">
        <v>1541</v>
      </c>
      <c r="I1415" s="2">
        <v>4040</v>
      </c>
      <c r="J1415" s="2"/>
      <c r="K1415" s="2" t="s">
        <v>884</v>
      </c>
      <c r="L1415" s="43" t="s">
        <v>4000</v>
      </c>
      <c r="P1415" s="41">
        <v>12</v>
      </c>
      <c r="Q1415" s="41">
        <v>2</v>
      </c>
      <c r="R1415" s="41" t="s">
        <v>1547</v>
      </c>
      <c r="S1415" t="s">
        <v>3343</v>
      </c>
      <c r="V1415" t="s">
        <v>4001</v>
      </c>
      <c r="AH1415" t="s">
        <v>359</v>
      </c>
    </row>
    <row r="1416" spans="1:34" ht="15.75">
      <c r="A1416" s="29">
        <f t="shared" si="22"/>
        <v>212</v>
      </c>
      <c r="B1416" s="2">
        <v>637</v>
      </c>
      <c r="C1416" s="2">
        <v>9</v>
      </c>
      <c r="D1416" s="2">
        <v>1817</v>
      </c>
      <c r="E1416">
        <v>5966</v>
      </c>
      <c r="G1416" s="1"/>
      <c r="H1416" t="s">
        <v>1541</v>
      </c>
      <c r="I1416" s="2">
        <v>212</v>
      </c>
      <c r="J1416" s="2">
        <v>0</v>
      </c>
      <c r="K1416" s="2" t="s">
        <v>884</v>
      </c>
      <c r="L1416" s="43" t="s">
        <v>5704</v>
      </c>
      <c r="P1416" s="41">
        <v>27</v>
      </c>
      <c r="Q1416" s="41">
        <v>11</v>
      </c>
      <c r="R1416" s="41">
        <v>42</v>
      </c>
      <c r="S1416" t="s">
        <v>3321</v>
      </c>
      <c r="AH1416" t="s">
        <v>359</v>
      </c>
    </row>
    <row r="1417" spans="1:34" ht="15.75">
      <c r="A1417" s="29">
        <f t="shared" si="22"/>
        <v>43540</v>
      </c>
      <c r="B1417" s="2">
        <v>637</v>
      </c>
      <c r="C1417" s="2">
        <v>9</v>
      </c>
      <c r="D1417" s="2">
        <v>1817</v>
      </c>
      <c r="E1417">
        <v>5967</v>
      </c>
      <c r="G1417" s="1"/>
      <c r="H1417" t="s">
        <v>1540</v>
      </c>
      <c r="I1417" s="2">
        <f>23770+19770</f>
        <v>43540</v>
      </c>
      <c r="J1417" s="2">
        <v>0</v>
      </c>
      <c r="K1417" s="2" t="s">
        <v>884</v>
      </c>
      <c r="L1417" s="43" t="s">
        <v>4002</v>
      </c>
      <c r="M1417" s="41" t="s">
        <v>5316</v>
      </c>
      <c r="N1417" s="41" t="s">
        <v>4004</v>
      </c>
      <c r="O1417" s="41" t="s">
        <v>4005</v>
      </c>
      <c r="P1417" s="41">
        <v>25</v>
      </c>
      <c r="Q1417" s="41">
        <v>7</v>
      </c>
      <c r="R1417" s="41">
        <v>36</v>
      </c>
      <c r="S1417" t="s">
        <v>4003</v>
      </c>
      <c r="T1417" t="s">
        <v>4006</v>
      </c>
      <c r="V1417" t="s">
        <v>4007</v>
      </c>
      <c r="AA1417" t="s">
        <v>4008</v>
      </c>
      <c r="AC1417" t="s">
        <v>4009</v>
      </c>
      <c r="AH1417" t="s">
        <v>359</v>
      </c>
    </row>
    <row r="1418" spans="1:34" ht="15.75">
      <c r="A1418" s="29">
        <f t="shared" si="22"/>
        <v>4604</v>
      </c>
      <c r="B1418" s="2">
        <v>637</v>
      </c>
      <c r="C1418" s="2">
        <v>9</v>
      </c>
      <c r="D1418" s="2">
        <v>1817</v>
      </c>
      <c r="E1418">
        <v>5968</v>
      </c>
      <c r="G1418" s="1"/>
      <c r="H1418" t="s">
        <v>1540</v>
      </c>
      <c r="I1418" s="2">
        <f>250+209+3982+163</f>
        <v>4604</v>
      </c>
      <c r="J1418" s="2">
        <v>0</v>
      </c>
      <c r="K1418" s="2" t="s">
        <v>884</v>
      </c>
      <c r="L1418" s="43" t="s">
        <v>5705</v>
      </c>
      <c r="P1418" s="41">
        <v>7</v>
      </c>
      <c r="Q1418" s="41">
        <v>5</v>
      </c>
      <c r="R1418" s="41">
        <v>66</v>
      </c>
      <c r="S1418" t="s">
        <v>3343</v>
      </c>
      <c r="AH1418" t="s">
        <v>359</v>
      </c>
    </row>
    <row r="1419" spans="1:34" ht="15.75">
      <c r="A1419" s="29">
        <f t="shared" si="22"/>
        <v>200</v>
      </c>
      <c r="B1419" s="2">
        <v>637</v>
      </c>
      <c r="C1419" s="2">
        <v>9</v>
      </c>
      <c r="D1419" s="2">
        <v>1817</v>
      </c>
      <c r="E1419">
        <v>5970</v>
      </c>
      <c r="G1419" s="1"/>
      <c r="H1419" t="s">
        <v>1540</v>
      </c>
      <c r="I1419" s="2">
        <v>200</v>
      </c>
      <c r="J1419" s="2">
        <v>0</v>
      </c>
      <c r="K1419" s="2" t="s">
        <v>884</v>
      </c>
      <c r="L1419" s="43" t="s">
        <v>4193</v>
      </c>
      <c r="P1419" s="41">
        <v>7</v>
      </c>
      <c r="Q1419" s="41">
        <v>2</v>
      </c>
      <c r="R1419" s="41">
        <v>63</v>
      </c>
      <c r="S1419" t="s">
        <v>3321</v>
      </c>
      <c r="AH1419" t="s">
        <v>359</v>
      </c>
    </row>
    <row r="1420" spans="1:34" ht="15.75">
      <c r="A1420" s="29">
        <f t="shared" si="22"/>
        <v>1957</v>
      </c>
      <c r="B1420" s="2">
        <v>637</v>
      </c>
      <c r="C1420" s="2">
        <v>9</v>
      </c>
      <c r="D1420" s="2">
        <v>1817</v>
      </c>
      <c r="E1420">
        <v>5971</v>
      </c>
      <c r="G1420" s="1"/>
      <c r="H1420" t="s">
        <v>1540</v>
      </c>
      <c r="I1420" s="2">
        <v>1957</v>
      </c>
      <c r="J1420" s="2">
        <v>0</v>
      </c>
      <c r="K1420" s="2" t="s">
        <v>884</v>
      </c>
      <c r="L1420" s="43" t="s">
        <v>4193</v>
      </c>
      <c r="P1420" s="41">
        <v>12</v>
      </c>
      <c r="Q1420" s="41">
        <v>12</v>
      </c>
      <c r="R1420" s="41">
        <v>61</v>
      </c>
      <c r="S1420" t="s">
        <v>3321</v>
      </c>
      <c r="AH1420" t="s">
        <v>359</v>
      </c>
    </row>
    <row r="1421" spans="1:34" ht="15.75">
      <c r="A1421" s="29">
        <f t="shared" si="22"/>
        <v>3256</v>
      </c>
      <c r="B1421" s="2">
        <v>637</v>
      </c>
      <c r="C1421" s="2">
        <v>9</v>
      </c>
      <c r="D1421" s="2">
        <v>1817</v>
      </c>
      <c r="E1421">
        <v>5972</v>
      </c>
      <c r="G1421" s="1"/>
      <c r="H1421" t="s">
        <v>1540</v>
      </c>
      <c r="I1421" s="2">
        <f>2332+924</f>
        <v>3256</v>
      </c>
      <c r="J1421" s="2">
        <v>0</v>
      </c>
      <c r="K1421" s="2" t="s">
        <v>884</v>
      </c>
      <c r="L1421" s="43" t="s">
        <v>4010</v>
      </c>
      <c r="P1421" s="41">
        <v>31</v>
      </c>
      <c r="Q1421" s="41">
        <v>3</v>
      </c>
      <c r="R1421" s="41">
        <v>40</v>
      </c>
      <c r="S1421" t="s">
        <v>3329</v>
      </c>
      <c r="AH1421" t="s">
        <v>359</v>
      </c>
    </row>
    <row r="1422" spans="1:34" ht="15.75">
      <c r="A1422" s="29">
        <f t="shared" si="22"/>
        <v>27532.208</v>
      </c>
      <c r="B1422" s="2">
        <v>637</v>
      </c>
      <c r="C1422" s="2">
        <v>9</v>
      </c>
      <c r="D1422" s="2">
        <v>1817</v>
      </c>
      <c r="E1422">
        <v>5973</v>
      </c>
      <c r="G1422" s="1"/>
      <c r="H1422" t="s">
        <v>1540</v>
      </c>
      <c r="I1422" s="2">
        <v>3209</v>
      </c>
      <c r="J1422" s="2">
        <v>2800</v>
      </c>
      <c r="K1422" s="2" t="s">
        <v>884</v>
      </c>
      <c r="L1422" s="43" t="s">
        <v>4011</v>
      </c>
      <c r="M1422" s="41" t="s">
        <v>1259</v>
      </c>
      <c r="N1422" s="41" t="s">
        <v>3144</v>
      </c>
      <c r="O1422" s="41" t="s">
        <v>4013</v>
      </c>
      <c r="P1422" s="41">
        <v>23</v>
      </c>
      <c r="Q1422" s="41">
        <v>12</v>
      </c>
      <c r="R1422" s="41">
        <v>70</v>
      </c>
      <c r="S1422" t="s">
        <v>4012</v>
      </c>
      <c r="T1422" t="s">
        <v>4014</v>
      </c>
      <c r="V1422" t="s">
        <v>3139</v>
      </c>
      <c r="X1422">
        <v>0.434343</v>
      </c>
      <c r="Y1422" t="s">
        <v>4015</v>
      </c>
      <c r="AH1422" t="s">
        <v>359</v>
      </c>
    </row>
    <row r="1423" spans="1:34" ht="15.75">
      <c r="A1423" s="29">
        <f t="shared" si="22"/>
        <v>0</v>
      </c>
      <c r="B1423" s="2">
        <v>637</v>
      </c>
      <c r="C1423" s="2">
        <v>9</v>
      </c>
      <c r="D1423" s="2">
        <v>1817</v>
      </c>
      <c r="E1423">
        <v>5974</v>
      </c>
      <c r="G1423" s="1"/>
      <c r="H1423" t="s">
        <v>1549</v>
      </c>
      <c r="I1423" s="2">
        <v>0</v>
      </c>
      <c r="J1423" s="2">
        <v>0</v>
      </c>
      <c r="K1423" s="2" t="s">
        <v>884</v>
      </c>
      <c r="L1423" s="43" t="s">
        <v>3641</v>
      </c>
      <c r="P1423" s="41">
        <v>25</v>
      </c>
      <c r="Q1423" s="41">
        <v>1</v>
      </c>
      <c r="R1423" s="41" t="s">
        <v>1547</v>
      </c>
      <c r="S1423" t="s">
        <v>3324</v>
      </c>
      <c r="V1423" t="s">
        <v>4016</v>
      </c>
      <c r="W1423" t="s">
        <v>4017</v>
      </c>
      <c r="AH1423" t="s">
        <v>359</v>
      </c>
    </row>
    <row r="1424" spans="1:34" ht="15.75">
      <c r="A1424" s="39">
        <f t="shared" si="22"/>
        <v>0</v>
      </c>
      <c r="B1424" s="2">
        <v>637</v>
      </c>
      <c r="C1424" s="2">
        <v>9</v>
      </c>
      <c r="D1424" s="2">
        <v>1817</v>
      </c>
      <c r="E1424">
        <v>5975</v>
      </c>
      <c r="G1424" s="1"/>
      <c r="H1424" t="s">
        <v>1549</v>
      </c>
      <c r="I1424" s="2">
        <v>0</v>
      </c>
      <c r="J1424" s="2">
        <v>0</v>
      </c>
      <c r="K1424" s="2" t="s">
        <v>884</v>
      </c>
      <c r="L1424" s="43" t="s">
        <v>3641</v>
      </c>
      <c r="P1424" s="41">
        <v>6</v>
      </c>
      <c r="Q1424" s="41">
        <v>4</v>
      </c>
      <c r="R1424" s="41">
        <v>40</v>
      </c>
      <c r="S1424" t="s">
        <v>3321</v>
      </c>
      <c r="V1424" t="s">
        <v>4018</v>
      </c>
      <c r="AH1424" t="s">
        <v>359</v>
      </c>
    </row>
    <row r="1425" spans="1:34" ht="15.75">
      <c r="A1425" s="29">
        <f t="shared" si="22"/>
        <v>238</v>
      </c>
      <c r="B1425" s="2">
        <v>638</v>
      </c>
      <c r="C1425" s="2">
        <v>9</v>
      </c>
      <c r="D1425" s="2">
        <v>1817</v>
      </c>
      <c r="E1425">
        <v>6014</v>
      </c>
      <c r="G1425" s="1"/>
      <c r="H1425" t="s">
        <v>1541</v>
      </c>
      <c r="I1425" s="2">
        <v>238</v>
      </c>
      <c r="J1425" s="2">
        <v>0</v>
      </c>
      <c r="K1425" s="2" t="s">
        <v>884</v>
      </c>
      <c r="L1425" s="43" t="s">
        <v>2377</v>
      </c>
      <c r="P1425" s="41">
        <v>13</v>
      </c>
      <c r="Q1425" s="41">
        <v>12</v>
      </c>
      <c r="R1425" s="41">
        <v>63</v>
      </c>
      <c r="S1425" t="s">
        <v>3329</v>
      </c>
      <c r="AH1425" t="s">
        <v>359</v>
      </c>
    </row>
    <row r="1426" spans="1:34" ht="15.75">
      <c r="A1426" s="29">
        <f t="shared" si="22"/>
        <v>33</v>
      </c>
      <c r="B1426" s="2">
        <v>638</v>
      </c>
      <c r="C1426" s="2">
        <v>9</v>
      </c>
      <c r="D1426" s="2">
        <v>1817</v>
      </c>
      <c r="E1426">
        <v>6015</v>
      </c>
      <c r="G1426" s="1"/>
      <c r="H1426" t="s">
        <v>1541</v>
      </c>
      <c r="I1426" s="2">
        <v>33</v>
      </c>
      <c r="J1426" s="2">
        <v>0</v>
      </c>
      <c r="K1426" s="2" t="s">
        <v>884</v>
      </c>
      <c r="L1426" s="43" t="s">
        <v>1338</v>
      </c>
      <c r="P1426" s="41">
        <v>16</v>
      </c>
      <c r="Q1426" s="41">
        <v>1</v>
      </c>
      <c r="R1426" s="41">
        <v>72</v>
      </c>
      <c r="S1426" t="s">
        <v>3329</v>
      </c>
      <c r="AH1426" t="s">
        <v>359</v>
      </c>
    </row>
    <row r="1427" spans="1:34" ht="15.75">
      <c r="A1427" s="29">
        <f t="shared" si="22"/>
        <v>30</v>
      </c>
      <c r="B1427" s="2">
        <v>638</v>
      </c>
      <c r="C1427" s="2">
        <v>9</v>
      </c>
      <c r="D1427" s="2">
        <v>1817</v>
      </c>
      <c r="E1427">
        <v>6016</v>
      </c>
      <c r="G1427" s="1"/>
      <c r="H1427" t="s">
        <v>1540</v>
      </c>
      <c r="I1427" s="2">
        <v>30</v>
      </c>
      <c r="J1427" s="2">
        <v>0</v>
      </c>
      <c r="K1427" s="2" t="s">
        <v>884</v>
      </c>
      <c r="L1427" s="43" t="s">
        <v>1338</v>
      </c>
      <c r="P1427" s="41">
        <v>18</v>
      </c>
      <c r="Q1427" s="41">
        <v>6</v>
      </c>
      <c r="R1427" s="41">
        <v>43</v>
      </c>
      <c r="S1427" t="s">
        <v>3321</v>
      </c>
      <c r="AH1427" t="s">
        <v>359</v>
      </c>
    </row>
    <row r="1428" spans="1:34" ht="15.75">
      <c r="A1428" s="29">
        <f t="shared" si="22"/>
        <v>15</v>
      </c>
      <c r="B1428" s="2">
        <v>638</v>
      </c>
      <c r="C1428" s="2">
        <v>9</v>
      </c>
      <c r="D1428" s="2">
        <v>1817</v>
      </c>
      <c r="E1428">
        <v>6017</v>
      </c>
      <c r="G1428" s="1"/>
      <c r="H1428" t="s">
        <v>1540</v>
      </c>
      <c r="I1428" s="2">
        <v>15</v>
      </c>
      <c r="J1428" s="2">
        <v>0</v>
      </c>
      <c r="K1428" s="2" t="s">
        <v>884</v>
      </c>
      <c r="L1428" s="43" t="s">
        <v>3656</v>
      </c>
      <c r="P1428" s="41">
        <v>6</v>
      </c>
      <c r="Q1428" s="41">
        <v>6</v>
      </c>
      <c r="R1428" s="41">
        <v>79</v>
      </c>
      <c r="S1428" t="s">
        <v>3324</v>
      </c>
      <c r="AH1428" t="s">
        <v>359</v>
      </c>
    </row>
    <row r="1429" spans="1:34" ht="15.75">
      <c r="A1429" s="29">
        <f t="shared" si="22"/>
        <v>43821</v>
      </c>
      <c r="B1429" s="2">
        <v>638</v>
      </c>
      <c r="C1429" s="2">
        <v>9</v>
      </c>
      <c r="D1429" s="2">
        <v>1817</v>
      </c>
      <c r="E1429">
        <v>6018</v>
      </c>
      <c r="G1429" s="1"/>
      <c r="H1429" t="s">
        <v>1541</v>
      </c>
      <c r="I1429" s="2">
        <v>6821</v>
      </c>
      <c r="J1429" s="2">
        <v>1850</v>
      </c>
      <c r="K1429" s="2" t="s">
        <v>884</v>
      </c>
      <c r="L1429" s="43" t="s">
        <v>4019</v>
      </c>
      <c r="M1429" s="41" t="s">
        <v>4021</v>
      </c>
      <c r="N1429" s="41" t="s">
        <v>1555</v>
      </c>
      <c r="O1429" s="41" t="s">
        <v>4022</v>
      </c>
      <c r="P1429" s="41">
        <v>16</v>
      </c>
      <c r="Q1429" s="41">
        <v>8</v>
      </c>
      <c r="R1429" s="41">
        <v>65</v>
      </c>
      <c r="S1429" t="s">
        <v>4020</v>
      </c>
      <c r="T1429" t="s">
        <v>4023</v>
      </c>
      <c r="V1429" t="s">
        <v>4898</v>
      </c>
      <c r="X1429">
        <v>1</v>
      </c>
      <c r="Y1429" t="s">
        <v>4022</v>
      </c>
      <c r="AH1429" t="s">
        <v>359</v>
      </c>
    </row>
    <row r="1430" spans="1:34" ht="15.75">
      <c r="A1430" s="29">
        <f t="shared" si="22"/>
        <v>71</v>
      </c>
      <c r="B1430" s="2">
        <v>638</v>
      </c>
      <c r="C1430" s="2">
        <v>9</v>
      </c>
      <c r="D1430" s="2">
        <v>1817</v>
      </c>
      <c r="E1430">
        <v>6019</v>
      </c>
      <c r="G1430" s="1"/>
      <c r="H1430" t="s">
        <v>1541</v>
      </c>
      <c r="I1430" s="2">
        <v>71</v>
      </c>
      <c r="J1430" s="2">
        <v>0</v>
      </c>
      <c r="K1430" s="2" t="s">
        <v>884</v>
      </c>
      <c r="L1430" s="43" t="s">
        <v>3656</v>
      </c>
      <c r="P1430" s="41">
        <v>31</v>
      </c>
      <c r="Q1430" s="41">
        <v>12</v>
      </c>
      <c r="R1430" s="41">
        <v>59</v>
      </c>
      <c r="S1430" t="s">
        <v>3324</v>
      </c>
      <c r="AH1430" t="s">
        <v>359</v>
      </c>
    </row>
    <row r="1431" spans="1:34" ht="15.75">
      <c r="A1431" s="29">
        <f t="shared" si="22"/>
        <v>48</v>
      </c>
      <c r="B1431" s="2">
        <v>638</v>
      </c>
      <c r="C1431" s="2">
        <v>9</v>
      </c>
      <c r="D1431" s="2">
        <v>1817</v>
      </c>
      <c r="E1431">
        <v>6020</v>
      </c>
      <c r="G1431" s="1"/>
      <c r="H1431" t="s">
        <v>1540</v>
      </c>
      <c r="I1431" s="2">
        <v>48</v>
      </c>
      <c r="J1431" s="2">
        <v>0</v>
      </c>
      <c r="K1431" s="2" t="s">
        <v>884</v>
      </c>
      <c r="L1431" s="43" t="s">
        <v>5779</v>
      </c>
      <c r="P1431" s="41">
        <v>23</v>
      </c>
      <c r="Q1431" s="41">
        <v>2</v>
      </c>
      <c r="R1431" s="41">
        <v>45</v>
      </c>
      <c r="S1431" t="s">
        <v>3321</v>
      </c>
      <c r="AH1431" t="s">
        <v>359</v>
      </c>
    </row>
    <row r="1432" spans="1:34" ht="15.75">
      <c r="A1432" s="29">
        <f t="shared" si="22"/>
        <v>251</v>
      </c>
      <c r="B1432" s="2">
        <v>638</v>
      </c>
      <c r="C1432" s="2">
        <v>9</v>
      </c>
      <c r="D1432" s="2">
        <v>1817</v>
      </c>
      <c r="E1432">
        <v>6021</v>
      </c>
      <c r="G1432" s="1"/>
      <c r="H1432" t="s">
        <v>1541</v>
      </c>
      <c r="I1432" s="2">
        <v>251</v>
      </c>
      <c r="J1432" s="2">
        <v>0</v>
      </c>
      <c r="K1432" s="2" t="s">
        <v>884</v>
      </c>
      <c r="L1432" s="43" t="s">
        <v>5779</v>
      </c>
      <c r="P1432" s="41">
        <v>15</v>
      </c>
      <c r="Q1432" s="41">
        <v>3</v>
      </c>
      <c r="R1432" s="41">
        <v>65</v>
      </c>
      <c r="S1432" t="s">
        <v>3343</v>
      </c>
      <c r="AH1432" t="s">
        <v>359</v>
      </c>
    </row>
    <row r="1433" spans="1:34" ht="15.75">
      <c r="A1433" s="29">
        <f t="shared" si="22"/>
        <v>50</v>
      </c>
      <c r="B1433" s="2">
        <v>638</v>
      </c>
      <c r="C1433" s="2">
        <v>9</v>
      </c>
      <c r="D1433" s="2">
        <v>1817</v>
      </c>
      <c r="E1433">
        <v>6022</v>
      </c>
      <c r="G1433" s="1"/>
      <c r="H1433" t="s">
        <v>1540</v>
      </c>
      <c r="I1433" s="2">
        <v>50</v>
      </c>
      <c r="J1433" s="2">
        <v>0</v>
      </c>
      <c r="K1433" s="2" t="s">
        <v>884</v>
      </c>
      <c r="L1433" s="43" t="s">
        <v>5779</v>
      </c>
      <c r="P1433" s="41">
        <v>4</v>
      </c>
      <c r="Q1433" s="41">
        <v>5</v>
      </c>
      <c r="R1433" s="41">
        <v>24</v>
      </c>
      <c r="S1433" t="s">
        <v>3343</v>
      </c>
      <c r="AH1433" t="s">
        <v>359</v>
      </c>
    </row>
    <row r="1434" spans="1:34" ht="15.75">
      <c r="A1434" s="29">
        <f t="shared" si="22"/>
        <v>514</v>
      </c>
      <c r="B1434" s="2">
        <v>638</v>
      </c>
      <c r="C1434" s="2">
        <v>9</v>
      </c>
      <c r="D1434" s="2">
        <v>1817</v>
      </c>
      <c r="E1434">
        <v>6023</v>
      </c>
      <c r="G1434" s="1"/>
      <c r="H1434" t="s">
        <v>1549</v>
      </c>
      <c r="I1434" s="2">
        <v>514</v>
      </c>
      <c r="J1434" s="2">
        <v>0</v>
      </c>
      <c r="K1434" s="2" t="s">
        <v>884</v>
      </c>
      <c r="L1434" s="43" t="s">
        <v>5781</v>
      </c>
      <c r="P1434" s="41">
        <v>17</v>
      </c>
      <c r="Q1434" s="41">
        <v>3</v>
      </c>
      <c r="R1434" s="41" t="s">
        <v>1547</v>
      </c>
      <c r="S1434" t="s">
        <v>3321</v>
      </c>
      <c r="AH1434" t="s">
        <v>359</v>
      </c>
    </row>
    <row r="1435" spans="1:34" ht="15.75">
      <c r="A1435" s="29">
        <f t="shared" si="22"/>
        <v>58371</v>
      </c>
      <c r="B1435" s="8">
        <v>639</v>
      </c>
      <c r="C1435" s="2">
        <v>9</v>
      </c>
      <c r="D1435" s="2">
        <v>1817</v>
      </c>
      <c r="E1435">
        <v>6056</v>
      </c>
      <c r="F1435" s="9"/>
      <c r="G1435" s="7"/>
      <c r="H1435" s="7" t="s">
        <v>1540</v>
      </c>
      <c r="I1435" s="8">
        <f>5780+19871</f>
        <v>25651</v>
      </c>
      <c r="J1435" s="8">
        <f>800+836</f>
        <v>1636</v>
      </c>
      <c r="K1435" s="2" t="s">
        <v>884</v>
      </c>
      <c r="L1435" s="43" t="s">
        <v>3367</v>
      </c>
      <c r="M1435" s="41" t="s">
        <v>4642</v>
      </c>
      <c r="N1435" s="41" t="s">
        <v>3144</v>
      </c>
      <c r="O1435" s="41" t="s">
        <v>4031</v>
      </c>
      <c r="P1435" s="41">
        <v>22</v>
      </c>
      <c r="Q1435" s="41">
        <v>7</v>
      </c>
      <c r="R1435" s="41">
        <v>78</v>
      </c>
      <c r="S1435" t="s">
        <v>3343</v>
      </c>
      <c r="T1435" t="s">
        <v>4032</v>
      </c>
      <c r="V1435" t="s">
        <v>4033</v>
      </c>
      <c r="X1435">
        <v>1</v>
      </c>
      <c r="Y1435" t="s">
        <v>4034</v>
      </c>
      <c r="AH1435" t="s">
        <v>359</v>
      </c>
    </row>
    <row r="1436" spans="1:34" ht="15.75">
      <c r="A1436" s="29">
        <f t="shared" si="22"/>
        <v>48</v>
      </c>
      <c r="B1436" s="8">
        <v>639</v>
      </c>
      <c r="C1436" s="2">
        <v>9</v>
      </c>
      <c r="D1436" s="2">
        <v>1817</v>
      </c>
      <c r="E1436">
        <v>6057</v>
      </c>
      <c r="F1436" s="9"/>
      <c r="G1436" s="7"/>
      <c r="H1436" s="7" t="s">
        <v>1541</v>
      </c>
      <c r="I1436" s="8">
        <v>48</v>
      </c>
      <c r="J1436" s="8">
        <v>0</v>
      </c>
      <c r="K1436" s="2" t="s">
        <v>884</v>
      </c>
      <c r="L1436" s="43" t="s">
        <v>4035</v>
      </c>
      <c r="P1436" s="41">
        <v>10</v>
      </c>
      <c r="Q1436" s="41">
        <v>12</v>
      </c>
      <c r="R1436" s="41">
        <v>47</v>
      </c>
      <c r="S1436" t="s">
        <v>3321</v>
      </c>
      <c r="AH1436" t="s">
        <v>359</v>
      </c>
    </row>
    <row r="1437" spans="1:34" ht="15.75">
      <c r="A1437" s="29">
        <f t="shared" si="22"/>
        <v>84</v>
      </c>
      <c r="B1437" s="8">
        <v>639</v>
      </c>
      <c r="C1437" s="2">
        <v>9</v>
      </c>
      <c r="D1437" s="2">
        <v>1817</v>
      </c>
      <c r="E1437">
        <v>6058</v>
      </c>
      <c r="F1437" s="9"/>
      <c r="G1437" s="7"/>
      <c r="H1437" s="7" t="s">
        <v>1541</v>
      </c>
      <c r="I1437" s="8">
        <v>84</v>
      </c>
      <c r="J1437" s="8">
        <v>0</v>
      </c>
      <c r="K1437" s="2" t="s">
        <v>884</v>
      </c>
      <c r="L1437" s="43" t="s">
        <v>5787</v>
      </c>
      <c r="P1437" s="41">
        <v>1</v>
      </c>
      <c r="Q1437" s="41">
        <v>5</v>
      </c>
      <c r="R1437" s="41">
        <v>76</v>
      </c>
      <c r="S1437" t="s">
        <v>3329</v>
      </c>
      <c r="AH1437" t="s">
        <v>359</v>
      </c>
    </row>
    <row r="1438" spans="1:34" ht="15.75">
      <c r="A1438" s="29">
        <f t="shared" si="22"/>
        <v>156624</v>
      </c>
      <c r="B1438" s="8">
        <v>639</v>
      </c>
      <c r="C1438" s="2">
        <v>9</v>
      </c>
      <c r="D1438" s="2">
        <v>1817</v>
      </c>
      <c r="E1438">
        <v>6059</v>
      </c>
      <c r="F1438" s="9"/>
      <c r="G1438" s="7"/>
      <c r="H1438" s="7" t="s">
        <v>850</v>
      </c>
      <c r="I1438" s="8">
        <v>44624</v>
      </c>
      <c r="J1438" s="8">
        <v>5600</v>
      </c>
      <c r="K1438" s="2" t="s">
        <v>884</v>
      </c>
      <c r="L1438" s="43" t="s">
        <v>4036</v>
      </c>
      <c r="M1438" s="41" t="s">
        <v>1542</v>
      </c>
      <c r="N1438" s="41" t="s">
        <v>4038</v>
      </c>
      <c r="O1438" s="41" t="s">
        <v>4039</v>
      </c>
      <c r="P1438" s="41">
        <v>25</v>
      </c>
      <c r="Q1438" s="41">
        <v>3</v>
      </c>
      <c r="R1438" s="41">
        <v>45</v>
      </c>
      <c r="S1438" t="s">
        <v>4037</v>
      </c>
      <c r="T1438" t="s">
        <v>4040</v>
      </c>
      <c r="V1438" t="s">
        <v>4041</v>
      </c>
      <c r="X1438">
        <v>1</v>
      </c>
      <c r="Y1438" t="s">
        <v>4039</v>
      </c>
      <c r="AH1438" t="s">
        <v>359</v>
      </c>
    </row>
    <row r="1439" spans="1:34" ht="15.75">
      <c r="A1439" s="29">
        <f t="shared" si="22"/>
        <v>390</v>
      </c>
      <c r="B1439" s="8">
        <v>639</v>
      </c>
      <c r="C1439" s="2">
        <v>9</v>
      </c>
      <c r="D1439" s="2">
        <v>1817</v>
      </c>
      <c r="E1439">
        <v>6060</v>
      </c>
      <c r="F1439" s="9"/>
      <c r="G1439" s="7"/>
      <c r="H1439" s="7" t="s">
        <v>1549</v>
      </c>
      <c r="I1439" s="8">
        <f>198+93+99</f>
        <v>390</v>
      </c>
      <c r="J1439" s="8">
        <v>0</v>
      </c>
      <c r="K1439" s="2" t="s">
        <v>884</v>
      </c>
      <c r="L1439" s="43" t="s">
        <v>4042</v>
      </c>
      <c r="P1439" s="41">
        <v>9</v>
      </c>
      <c r="Q1439" s="41">
        <v>5</v>
      </c>
      <c r="R1439" s="41">
        <v>68</v>
      </c>
      <c r="S1439" t="s">
        <v>3343</v>
      </c>
      <c r="AH1439" t="s">
        <v>359</v>
      </c>
    </row>
    <row r="1440" spans="1:34" ht="15.75">
      <c r="A1440" s="29">
        <f t="shared" si="22"/>
        <v>19948</v>
      </c>
      <c r="B1440" s="8">
        <v>639</v>
      </c>
      <c r="C1440" s="2">
        <v>9</v>
      </c>
      <c r="D1440" s="2">
        <v>1817</v>
      </c>
      <c r="E1440">
        <v>6062</v>
      </c>
      <c r="F1440" s="9"/>
      <c r="G1440" s="7"/>
      <c r="H1440" s="7" t="s">
        <v>1540</v>
      </c>
      <c r="I1440" s="8">
        <v>19948</v>
      </c>
      <c r="J1440" s="8">
        <v>0</v>
      </c>
      <c r="K1440" s="2" t="s">
        <v>884</v>
      </c>
      <c r="L1440" s="43" t="s">
        <v>4044</v>
      </c>
      <c r="M1440" s="41" t="s">
        <v>5316</v>
      </c>
      <c r="N1440" s="41" t="s">
        <v>4046</v>
      </c>
      <c r="O1440" s="41" t="s">
        <v>4047</v>
      </c>
      <c r="P1440" s="41">
        <v>1</v>
      </c>
      <c r="Q1440" s="41">
        <v>4</v>
      </c>
      <c r="R1440" s="41" t="s">
        <v>1547</v>
      </c>
      <c r="S1440" t="s">
        <v>4045</v>
      </c>
      <c r="T1440" t="s">
        <v>4048</v>
      </c>
      <c r="U1440" t="s">
        <v>3406</v>
      </c>
      <c r="V1440" t="s">
        <v>4049</v>
      </c>
      <c r="AH1440" t="s">
        <v>359</v>
      </c>
    </row>
    <row r="1441" spans="1:34" ht="15.75">
      <c r="A1441" s="29">
        <f t="shared" si="22"/>
        <v>3538</v>
      </c>
      <c r="B1441" s="2">
        <v>639</v>
      </c>
      <c r="C1441" s="2">
        <v>9</v>
      </c>
      <c r="D1441" s="2">
        <v>1817</v>
      </c>
      <c r="E1441">
        <v>6063</v>
      </c>
      <c r="G1441" s="1"/>
      <c r="H1441" s="1" t="s">
        <v>1541</v>
      </c>
      <c r="I1441" s="2">
        <f>2359+1179</f>
        <v>3538</v>
      </c>
      <c r="J1441" s="2">
        <v>0</v>
      </c>
      <c r="K1441" s="2" t="s">
        <v>884</v>
      </c>
      <c r="L1441" s="43" t="s">
        <v>1337</v>
      </c>
      <c r="P1441" s="41">
        <v>22</v>
      </c>
      <c r="Q1441" s="41">
        <v>2</v>
      </c>
      <c r="R1441" s="41">
        <v>29</v>
      </c>
      <c r="S1441" t="s">
        <v>3321</v>
      </c>
      <c r="AH1441" t="s">
        <v>359</v>
      </c>
    </row>
    <row r="1442" spans="1:34" ht="15.75">
      <c r="A1442" s="29">
        <f t="shared" si="22"/>
        <v>293</v>
      </c>
      <c r="B1442" s="2">
        <v>639</v>
      </c>
      <c r="C1442" s="2">
        <v>9</v>
      </c>
      <c r="D1442" s="2">
        <v>1817</v>
      </c>
      <c r="E1442">
        <v>6064</v>
      </c>
      <c r="G1442" s="1"/>
      <c r="H1442" s="1" t="s">
        <v>1540</v>
      </c>
      <c r="I1442" s="2">
        <v>293</v>
      </c>
      <c r="J1442" s="2">
        <v>0</v>
      </c>
      <c r="K1442" s="2" t="s">
        <v>884</v>
      </c>
      <c r="L1442" s="43" t="s">
        <v>1337</v>
      </c>
      <c r="P1442" s="41">
        <v>2</v>
      </c>
      <c r="Q1442" s="41">
        <v>12</v>
      </c>
      <c r="R1442" s="41">
        <v>56</v>
      </c>
      <c r="S1442" t="s">
        <v>3321</v>
      </c>
      <c r="AH1442" t="s">
        <v>359</v>
      </c>
    </row>
    <row r="1443" spans="1:34" ht="15.75">
      <c r="A1443" s="39">
        <f t="shared" si="22"/>
        <v>2060</v>
      </c>
      <c r="B1443" s="2">
        <v>639</v>
      </c>
      <c r="C1443" s="2">
        <v>9</v>
      </c>
      <c r="D1443" s="2">
        <v>1817</v>
      </c>
      <c r="E1443">
        <v>6066</v>
      </c>
      <c r="G1443" s="1"/>
      <c r="H1443" s="1" t="s">
        <v>1541</v>
      </c>
      <c r="I1443" s="2">
        <v>2060</v>
      </c>
      <c r="J1443" s="2">
        <v>0</v>
      </c>
      <c r="K1443" s="2" t="s">
        <v>884</v>
      </c>
      <c r="L1443" s="43" t="s">
        <v>5786</v>
      </c>
      <c r="P1443" s="41">
        <v>2</v>
      </c>
      <c r="Q1443" s="41">
        <v>9</v>
      </c>
      <c r="R1443" s="41">
        <v>37</v>
      </c>
      <c r="S1443" t="s">
        <v>3343</v>
      </c>
      <c r="AH1443" t="s">
        <v>359</v>
      </c>
    </row>
    <row r="1444" spans="1:34" ht="15.75">
      <c r="A1444" s="29">
        <f t="shared" si="22"/>
        <v>1059</v>
      </c>
      <c r="B1444" s="2">
        <v>639</v>
      </c>
      <c r="C1444" s="2">
        <v>9</v>
      </c>
      <c r="D1444" s="2">
        <v>1817</v>
      </c>
      <c r="E1444">
        <v>6067</v>
      </c>
      <c r="G1444" s="1"/>
      <c r="H1444" s="1" t="s">
        <v>850</v>
      </c>
      <c r="I1444" s="8">
        <v>1059</v>
      </c>
      <c r="J1444" s="2">
        <v>0</v>
      </c>
      <c r="K1444" s="2" t="s">
        <v>884</v>
      </c>
      <c r="L1444" s="43" t="s">
        <v>2941</v>
      </c>
      <c r="P1444" s="41">
        <v>25</v>
      </c>
      <c r="Q1444" s="41">
        <v>1</v>
      </c>
      <c r="R1444" s="41">
        <v>56</v>
      </c>
      <c r="S1444" t="s">
        <v>3321</v>
      </c>
      <c r="AH1444" t="s">
        <v>359</v>
      </c>
    </row>
    <row r="1445" spans="1:34" ht="15.75">
      <c r="A1445" s="29">
        <f t="shared" si="22"/>
        <v>2104</v>
      </c>
      <c r="B1445" s="2">
        <v>640</v>
      </c>
      <c r="C1445" s="2">
        <v>9</v>
      </c>
      <c r="D1445" s="2">
        <v>1817</v>
      </c>
      <c r="E1445">
        <v>6092</v>
      </c>
      <c r="G1445" s="1"/>
      <c r="H1445" s="1" t="s">
        <v>1540</v>
      </c>
      <c r="I1445" s="2">
        <v>2104</v>
      </c>
      <c r="J1445" s="2">
        <v>0</v>
      </c>
      <c r="K1445" s="2" t="s">
        <v>884</v>
      </c>
      <c r="L1445" s="43" t="s">
        <v>1327</v>
      </c>
      <c r="P1445" s="41">
        <v>13</v>
      </c>
      <c r="Q1445" s="41">
        <v>12</v>
      </c>
      <c r="R1445" s="41">
        <v>48</v>
      </c>
      <c r="S1445" t="s">
        <v>3321</v>
      </c>
      <c r="AH1445" t="s">
        <v>359</v>
      </c>
    </row>
    <row r="1446" spans="1:34" ht="15.75">
      <c r="A1446" s="29">
        <f t="shared" si="22"/>
        <v>31</v>
      </c>
      <c r="B1446" s="2">
        <v>640</v>
      </c>
      <c r="C1446" s="2">
        <v>9</v>
      </c>
      <c r="D1446" s="2">
        <v>1817</v>
      </c>
      <c r="E1446">
        <v>6093</v>
      </c>
      <c r="G1446" s="1"/>
      <c r="H1446" s="1" t="s">
        <v>1541</v>
      </c>
      <c r="I1446" s="2">
        <v>31</v>
      </c>
      <c r="J1446" s="2">
        <v>0</v>
      </c>
      <c r="K1446" s="2" t="s">
        <v>884</v>
      </c>
      <c r="L1446" s="43" t="s">
        <v>4054</v>
      </c>
      <c r="P1446" s="41">
        <v>6</v>
      </c>
      <c r="Q1446" s="41">
        <v>6</v>
      </c>
      <c r="R1446" s="41">
        <v>58</v>
      </c>
      <c r="S1446" t="s">
        <v>3321</v>
      </c>
      <c r="AH1446" t="s">
        <v>359</v>
      </c>
    </row>
    <row r="1447" spans="1:34" ht="15.75">
      <c r="A1447" s="29">
        <f t="shared" si="22"/>
        <v>3947</v>
      </c>
      <c r="B1447" s="2">
        <v>640</v>
      </c>
      <c r="C1447" s="2">
        <v>9</v>
      </c>
      <c r="D1447" s="2">
        <v>1817</v>
      </c>
      <c r="E1447">
        <v>6094</v>
      </c>
      <c r="G1447" s="1"/>
      <c r="H1447" s="1" t="s">
        <v>1541</v>
      </c>
      <c r="I1447" s="2">
        <v>3947</v>
      </c>
      <c r="J1447" s="2">
        <v>0</v>
      </c>
      <c r="K1447" s="2" t="s">
        <v>884</v>
      </c>
      <c r="L1447" s="43" t="s">
        <v>5711</v>
      </c>
      <c r="N1447" s="41" t="s">
        <v>3347</v>
      </c>
      <c r="P1447" s="41">
        <v>12</v>
      </c>
      <c r="Q1447" s="41">
        <v>4</v>
      </c>
      <c r="R1447" s="41">
        <v>4</v>
      </c>
      <c r="S1447" t="s">
        <v>3343</v>
      </c>
      <c r="AH1447" t="s">
        <v>359</v>
      </c>
    </row>
    <row r="1448" spans="1:34" ht="15.75">
      <c r="A1448" s="29">
        <f t="shared" si="22"/>
        <v>500</v>
      </c>
      <c r="B1448" s="2">
        <v>640</v>
      </c>
      <c r="C1448" s="2">
        <v>9</v>
      </c>
      <c r="D1448" s="2">
        <v>1817</v>
      </c>
      <c r="E1448">
        <v>6095</v>
      </c>
      <c r="G1448" s="1"/>
      <c r="H1448" s="1" t="s">
        <v>1541</v>
      </c>
      <c r="I1448" s="2">
        <v>500</v>
      </c>
      <c r="J1448" s="2">
        <v>0</v>
      </c>
      <c r="K1448" s="2" t="s">
        <v>884</v>
      </c>
      <c r="L1448" s="43" t="s">
        <v>5711</v>
      </c>
      <c r="P1448" s="41">
        <v>7</v>
      </c>
      <c r="Q1448" s="41">
        <v>7</v>
      </c>
      <c r="R1448" s="41">
        <v>31</v>
      </c>
      <c r="S1448" t="s">
        <v>3321</v>
      </c>
      <c r="AH1448" t="s">
        <v>359</v>
      </c>
    </row>
    <row r="1449" spans="1:34" ht="15.75">
      <c r="A1449" s="29">
        <f t="shared" si="22"/>
        <v>832</v>
      </c>
      <c r="B1449" s="2">
        <v>640</v>
      </c>
      <c r="C1449" s="2">
        <v>9</v>
      </c>
      <c r="D1449" s="2">
        <v>1817</v>
      </c>
      <c r="E1449">
        <v>6096</v>
      </c>
      <c r="G1449" s="1"/>
      <c r="H1449" s="1" t="s">
        <v>1549</v>
      </c>
      <c r="I1449" s="2">
        <f>663+169</f>
        <v>832</v>
      </c>
      <c r="J1449" s="2">
        <v>0</v>
      </c>
      <c r="K1449" s="2" t="s">
        <v>884</v>
      </c>
      <c r="L1449" s="43" t="s">
        <v>5711</v>
      </c>
      <c r="P1449" s="41">
        <v>10</v>
      </c>
      <c r="Q1449" s="41">
        <v>8</v>
      </c>
      <c r="R1449" s="41">
        <v>39</v>
      </c>
      <c r="S1449" t="s">
        <v>3343</v>
      </c>
      <c r="AH1449" t="s">
        <v>359</v>
      </c>
    </row>
    <row r="1450" spans="1:34" ht="15.75">
      <c r="A1450" s="29">
        <f t="shared" si="22"/>
        <v>1381</v>
      </c>
      <c r="B1450" s="2">
        <v>640</v>
      </c>
      <c r="C1450" s="2">
        <v>9</v>
      </c>
      <c r="D1450" s="2">
        <v>1817</v>
      </c>
      <c r="E1450">
        <v>6097</v>
      </c>
      <c r="G1450" s="1"/>
      <c r="H1450" s="1" t="s">
        <v>1540</v>
      </c>
      <c r="I1450" s="2">
        <v>1381</v>
      </c>
      <c r="J1450" s="2">
        <v>0</v>
      </c>
      <c r="K1450" s="2" t="s">
        <v>884</v>
      </c>
      <c r="L1450" s="43" t="s">
        <v>5713</v>
      </c>
      <c r="P1450" s="41">
        <v>6</v>
      </c>
      <c r="Q1450" s="41">
        <v>12</v>
      </c>
      <c r="R1450" s="41" t="s">
        <v>1547</v>
      </c>
      <c r="S1450" t="s">
        <v>1547</v>
      </c>
      <c r="T1450" t="s">
        <v>969</v>
      </c>
      <c r="AH1450" t="s">
        <v>359</v>
      </c>
    </row>
    <row r="1451" spans="1:34" ht="15.75">
      <c r="A1451" s="29">
        <f t="shared" si="22"/>
        <v>100214</v>
      </c>
      <c r="B1451" s="8">
        <v>640</v>
      </c>
      <c r="C1451" s="2">
        <v>9</v>
      </c>
      <c r="D1451" s="2">
        <v>1817</v>
      </c>
      <c r="E1451">
        <v>6098</v>
      </c>
      <c r="F1451" s="9"/>
      <c r="G1451" s="7"/>
      <c r="H1451" s="7" t="s">
        <v>1540</v>
      </c>
      <c r="I1451" s="8">
        <f>4906+7308</f>
        <v>12214</v>
      </c>
      <c r="J1451" s="8">
        <f>2000+400+2000</f>
        <v>4400</v>
      </c>
      <c r="K1451" s="2" t="s">
        <v>884</v>
      </c>
      <c r="L1451" s="43" t="s">
        <v>4055</v>
      </c>
      <c r="M1451" s="41" t="s">
        <v>3451</v>
      </c>
      <c r="O1451" s="41" t="s">
        <v>4057</v>
      </c>
      <c r="P1451" s="41">
        <v>20</v>
      </c>
      <c r="Q1451" s="41">
        <v>2</v>
      </c>
      <c r="R1451" s="41">
        <v>65</v>
      </c>
      <c r="S1451" t="s">
        <v>4056</v>
      </c>
      <c r="T1451" t="s">
        <v>4058</v>
      </c>
      <c r="V1451" t="s">
        <v>1257</v>
      </c>
      <c r="X1451">
        <v>1</v>
      </c>
      <c r="Y1451" t="s">
        <v>4059</v>
      </c>
      <c r="AH1451" t="s">
        <v>359</v>
      </c>
    </row>
    <row r="1452" spans="1:34" ht="15.75">
      <c r="A1452" s="29">
        <f t="shared" si="22"/>
        <v>1056</v>
      </c>
      <c r="B1452" s="8">
        <v>640</v>
      </c>
      <c r="C1452" s="2">
        <v>9</v>
      </c>
      <c r="D1452" s="2">
        <v>1817</v>
      </c>
      <c r="E1452">
        <v>6100</v>
      </c>
      <c r="F1452" s="9"/>
      <c r="G1452" s="7"/>
      <c r="H1452" s="7" t="s">
        <v>1541</v>
      </c>
      <c r="I1452" s="8">
        <f>936+120</f>
        <v>1056</v>
      </c>
      <c r="J1452" s="8">
        <v>0</v>
      </c>
      <c r="K1452" s="2" t="s">
        <v>884</v>
      </c>
      <c r="L1452" s="43" t="s">
        <v>5714</v>
      </c>
      <c r="P1452" s="41">
        <v>28</v>
      </c>
      <c r="Q1452" s="41">
        <v>5</v>
      </c>
      <c r="R1452" s="41">
        <v>31</v>
      </c>
      <c r="S1452" t="s">
        <v>3321</v>
      </c>
      <c r="AH1452" t="s">
        <v>359</v>
      </c>
    </row>
    <row r="1453" spans="1:34" ht="15.75">
      <c r="A1453" s="29">
        <f t="shared" si="22"/>
        <v>4200</v>
      </c>
      <c r="B1453" s="8">
        <v>640</v>
      </c>
      <c r="C1453" s="2">
        <v>9</v>
      </c>
      <c r="D1453" s="2">
        <v>1817</v>
      </c>
      <c r="E1453">
        <v>6101</v>
      </c>
      <c r="F1453" s="9"/>
      <c r="G1453" s="7"/>
      <c r="H1453" s="7" t="s">
        <v>1540</v>
      </c>
      <c r="I1453" s="8">
        <v>200</v>
      </c>
      <c r="J1453" s="8">
        <v>200</v>
      </c>
      <c r="K1453" s="2" t="s">
        <v>884</v>
      </c>
      <c r="L1453" s="43" t="s">
        <v>1728</v>
      </c>
      <c r="M1453" s="41" t="s">
        <v>1730</v>
      </c>
      <c r="N1453" s="41" t="s">
        <v>1731</v>
      </c>
      <c r="O1453" s="41" t="s">
        <v>1732</v>
      </c>
      <c r="P1453" s="41">
        <v>6</v>
      </c>
      <c r="Q1453" s="41">
        <v>7</v>
      </c>
      <c r="R1453" s="41">
        <v>46</v>
      </c>
      <c r="S1453" t="s">
        <v>1729</v>
      </c>
      <c r="T1453" t="s">
        <v>1733</v>
      </c>
      <c r="V1453" t="s">
        <v>3131</v>
      </c>
      <c r="X1453" s="47">
        <v>1</v>
      </c>
      <c r="AH1453" t="s">
        <v>359</v>
      </c>
    </row>
    <row r="1454" spans="1:34" ht="15.75">
      <c r="A1454" s="29">
        <f t="shared" si="22"/>
        <v>4556</v>
      </c>
      <c r="B1454" s="8">
        <v>640</v>
      </c>
      <c r="C1454" s="2">
        <v>9</v>
      </c>
      <c r="D1454" s="2">
        <v>1817</v>
      </c>
      <c r="E1454">
        <v>6102</v>
      </c>
      <c r="F1454" s="9"/>
      <c r="G1454" s="7"/>
      <c r="H1454" s="7" t="s">
        <v>1541</v>
      </c>
      <c r="I1454" s="8">
        <v>4556</v>
      </c>
      <c r="J1454" s="8">
        <v>0</v>
      </c>
      <c r="K1454" s="2" t="s">
        <v>884</v>
      </c>
      <c r="L1454" s="43" t="s">
        <v>5714</v>
      </c>
      <c r="P1454" s="41">
        <v>28</v>
      </c>
      <c r="Q1454" s="41">
        <v>12</v>
      </c>
      <c r="R1454" s="41">
        <v>73</v>
      </c>
      <c r="S1454" t="s">
        <v>3329</v>
      </c>
      <c r="AH1454" t="s">
        <v>359</v>
      </c>
    </row>
    <row r="1455" spans="1:34" ht="15.75">
      <c r="A1455" s="29">
        <f t="shared" si="22"/>
        <v>3389</v>
      </c>
      <c r="B1455" s="2">
        <v>640</v>
      </c>
      <c r="C1455" s="2">
        <v>9</v>
      </c>
      <c r="D1455" s="2">
        <v>1817</v>
      </c>
      <c r="E1455">
        <v>6105</v>
      </c>
      <c r="G1455" s="1"/>
      <c r="H1455" s="1" t="s">
        <v>1541</v>
      </c>
      <c r="I1455" s="2">
        <f>1970+1419</f>
        <v>3389</v>
      </c>
      <c r="J1455" s="2">
        <v>0</v>
      </c>
      <c r="K1455" s="2" t="s">
        <v>884</v>
      </c>
      <c r="L1455" s="43" t="s">
        <v>1330</v>
      </c>
      <c r="P1455" s="41">
        <v>17</v>
      </c>
      <c r="Q1455" s="41">
        <v>12</v>
      </c>
      <c r="R1455" s="41">
        <v>65</v>
      </c>
      <c r="S1455" t="s">
        <v>3329</v>
      </c>
      <c r="AH1455" t="s">
        <v>359</v>
      </c>
    </row>
    <row r="1456" spans="1:34" ht="15.75">
      <c r="A1456" s="29">
        <f t="shared" si="22"/>
        <v>910</v>
      </c>
      <c r="B1456" s="2">
        <v>641</v>
      </c>
      <c r="C1456" s="2">
        <v>9</v>
      </c>
      <c r="D1456" s="2">
        <v>1817</v>
      </c>
      <c r="E1456">
        <v>6146</v>
      </c>
      <c r="G1456" s="1"/>
      <c r="H1456" s="1" t="s">
        <v>1541</v>
      </c>
      <c r="I1456" s="2">
        <f>310+600</f>
        <v>910</v>
      </c>
      <c r="J1456" s="2">
        <v>0</v>
      </c>
      <c r="K1456" s="2" t="s">
        <v>884</v>
      </c>
      <c r="L1456" s="43" t="s">
        <v>1739</v>
      </c>
      <c r="P1456" s="41">
        <v>17</v>
      </c>
      <c r="Q1456" s="41">
        <v>7</v>
      </c>
      <c r="R1456" s="41">
        <v>81</v>
      </c>
      <c r="S1456" t="s">
        <v>3329</v>
      </c>
      <c r="AH1456" t="s">
        <v>359</v>
      </c>
    </row>
    <row r="1457" spans="1:34" ht="15.75">
      <c r="A1457" s="29">
        <f t="shared" si="22"/>
        <v>1239</v>
      </c>
      <c r="B1457" s="2">
        <v>641</v>
      </c>
      <c r="C1457" s="2">
        <v>9</v>
      </c>
      <c r="D1457" s="2">
        <v>1817</v>
      </c>
      <c r="E1457">
        <v>6147</v>
      </c>
      <c r="G1457" s="1"/>
      <c r="H1457" s="1" t="s">
        <v>1541</v>
      </c>
      <c r="I1457" s="2">
        <f>783+25+431</f>
        <v>1239</v>
      </c>
      <c r="J1457" s="2">
        <v>0</v>
      </c>
      <c r="K1457" s="2" t="s">
        <v>884</v>
      </c>
      <c r="L1457" s="43" t="s">
        <v>1740</v>
      </c>
      <c r="P1457" s="41">
        <v>6</v>
      </c>
      <c r="Q1457" s="41">
        <v>6</v>
      </c>
      <c r="R1457" s="41">
        <v>39</v>
      </c>
      <c r="S1457" t="s">
        <v>3321</v>
      </c>
      <c r="AH1457" t="s">
        <v>359</v>
      </c>
    </row>
    <row r="1458" spans="1:34" ht="15.75">
      <c r="A1458" s="29">
        <f t="shared" si="22"/>
        <v>99847</v>
      </c>
      <c r="B1458" s="8">
        <v>641</v>
      </c>
      <c r="C1458" s="2">
        <v>9</v>
      </c>
      <c r="D1458" s="2">
        <v>1817</v>
      </c>
      <c r="E1458">
        <v>6148</v>
      </c>
      <c r="F1458" s="9"/>
      <c r="G1458" s="7"/>
      <c r="H1458" s="7" t="s">
        <v>1540</v>
      </c>
      <c r="I1458" s="8">
        <v>1847</v>
      </c>
      <c r="J1458" s="8">
        <f>2500+2400</f>
        <v>4900</v>
      </c>
      <c r="K1458" s="2" t="s">
        <v>884</v>
      </c>
      <c r="L1458" s="43" t="s">
        <v>1741</v>
      </c>
      <c r="M1458" s="41" t="s">
        <v>1743</v>
      </c>
      <c r="N1458" s="41" t="s">
        <v>1555</v>
      </c>
      <c r="O1458" s="41" t="s">
        <v>1744</v>
      </c>
      <c r="P1458" s="41">
        <v>7</v>
      </c>
      <c r="Q1458" s="41">
        <v>7</v>
      </c>
      <c r="R1458" s="41">
        <v>60</v>
      </c>
      <c r="S1458" t="s">
        <v>1742</v>
      </c>
      <c r="T1458" t="s">
        <v>1745</v>
      </c>
      <c r="V1458" t="s">
        <v>3783</v>
      </c>
      <c r="X1458">
        <v>1</v>
      </c>
      <c r="Y1458" t="s">
        <v>1746</v>
      </c>
      <c r="AH1458" t="s">
        <v>359</v>
      </c>
    </row>
    <row r="1459" spans="1:34" ht="15.75">
      <c r="A1459" s="29">
        <f t="shared" si="22"/>
        <v>26000</v>
      </c>
      <c r="B1459" s="8">
        <v>641</v>
      </c>
      <c r="C1459" s="2">
        <v>9</v>
      </c>
      <c r="D1459" s="2">
        <v>1817</v>
      </c>
      <c r="E1459">
        <v>6149</v>
      </c>
      <c r="F1459" s="9"/>
      <c r="G1459" s="7"/>
      <c r="H1459" s="7" t="s">
        <v>1541</v>
      </c>
      <c r="I1459" s="8">
        <v>0</v>
      </c>
      <c r="J1459" s="8">
        <v>1300</v>
      </c>
      <c r="K1459" s="2" t="s">
        <v>884</v>
      </c>
      <c r="L1459" s="43" t="s">
        <v>1747</v>
      </c>
      <c r="M1459" s="41" t="s">
        <v>1749</v>
      </c>
      <c r="O1459" s="41" t="s">
        <v>1750</v>
      </c>
      <c r="P1459" s="41">
        <v>2</v>
      </c>
      <c r="Q1459" s="41">
        <v>7</v>
      </c>
      <c r="R1459" s="41" t="s">
        <v>1547</v>
      </c>
      <c r="S1459" t="s">
        <v>1748</v>
      </c>
      <c r="T1459" t="s">
        <v>1751</v>
      </c>
      <c r="V1459" t="s">
        <v>1752</v>
      </c>
      <c r="X1459">
        <v>1</v>
      </c>
      <c r="Y1459" t="s">
        <v>1753</v>
      </c>
      <c r="AH1459" t="s">
        <v>359</v>
      </c>
    </row>
    <row r="1460" spans="1:34" ht="15.75">
      <c r="A1460" s="29">
        <f t="shared" si="22"/>
        <v>2574</v>
      </c>
      <c r="B1460" s="2">
        <v>641</v>
      </c>
      <c r="C1460" s="2">
        <v>9</v>
      </c>
      <c r="D1460" s="2">
        <v>1817</v>
      </c>
      <c r="E1460">
        <v>6150</v>
      </c>
      <c r="G1460" s="1"/>
      <c r="H1460" s="1" t="s">
        <v>1540</v>
      </c>
      <c r="I1460" s="2">
        <f>696+1878</f>
        <v>2574</v>
      </c>
      <c r="J1460" s="2">
        <v>0</v>
      </c>
      <c r="K1460" s="2" t="s">
        <v>884</v>
      </c>
      <c r="L1460" s="43" t="s">
        <v>5716</v>
      </c>
      <c r="P1460" s="41">
        <v>22</v>
      </c>
      <c r="Q1460" s="41">
        <v>7</v>
      </c>
      <c r="R1460" s="41" t="s">
        <v>1547</v>
      </c>
      <c r="S1460" t="s">
        <v>3321</v>
      </c>
      <c r="AH1460" t="s">
        <v>359</v>
      </c>
    </row>
    <row r="1461" spans="1:34" ht="15.75">
      <c r="A1461" s="29">
        <f t="shared" si="22"/>
        <v>3399</v>
      </c>
      <c r="B1461" s="2">
        <v>407</v>
      </c>
      <c r="C1461" s="2">
        <v>9</v>
      </c>
      <c r="D1461" s="2">
        <v>1817</v>
      </c>
      <c r="E1461">
        <v>6151</v>
      </c>
      <c r="G1461" s="1"/>
      <c r="H1461" s="1" t="s">
        <v>1540</v>
      </c>
      <c r="I1461" s="2">
        <v>3399</v>
      </c>
      <c r="J1461" s="2"/>
      <c r="K1461" s="2" t="s">
        <v>864</v>
      </c>
      <c r="L1461" s="43" t="s">
        <v>1754</v>
      </c>
      <c r="P1461" s="41">
        <v>14</v>
      </c>
      <c r="Q1461" s="41">
        <v>1</v>
      </c>
      <c r="R1461" s="41" t="s">
        <v>1547</v>
      </c>
      <c r="S1461" t="s">
        <v>884</v>
      </c>
      <c r="V1461" s="4" t="s">
        <v>1755</v>
      </c>
      <c r="AH1461" t="s">
        <v>359</v>
      </c>
    </row>
    <row r="1462" spans="1:34" ht="15.75">
      <c r="A1462" s="29">
        <f t="shared" si="22"/>
        <v>751</v>
      </c>
      <c r="B1462" s="2">
        <v>407</v>
      </c>
      <c r="C1462" s="2">
        <v>9</v>
      </c>
      <c r="D1462" s="2">
        <v>1817</v>
      </c>
      <c r="E1462">
        <v>6152</v>
      </c>
      <c r="G1462" s="1"/>
      <c r="H1462" s="1" t="s">
        <v>1549</v>
      </c>
      <c r="I1462" s="2">
        <v>751</v>
      </c>
      <c r="J1462" s="2"/>
      <c r="K1462" s="2" t="s">
        <v>864</v>
      </c>
      <c r="L1462" s="43" t="s">
        <v>1756</v>
      </c>
      <c r="P1462" s="41">
        <v>27</v>
      </c>
      <c r="Q1462" s="41">
        <v>1</v>
      </c>
      <c r="R1462" s="41" t="s">
        <v>1547</v>
      </c>
      <c r="S1462" t="s">
        <v>884</v>
      </c>
      <c r="V1462" s="4" t="s">
        <v>1757</v>
      </c>
      <c r="AH1462" t="s">
        <v>359</v>
      </c>
    </row>
    <row r="1463" spans="1:34" ht="15.75">
      <c r="A1463" s="29">
        <f t="shared" si="22"/>
        <v>75</v>
      </c>
      <c r="B1463" s="2">
        <v>641</v>
      </c>
      <c r="C1463" s="2">
        <v>9</v>
      </c>
      <c r="D1463" s="2">
        <v>1817</v>
      </c>
      <c r="E1463">
        <v>6153</v>
      </c>
      <c r="G1463" s="1"/>
      <c r="H1463" s="1" t="s">
        <v>1540</v>
      </c>
      <c r="I1463" s="2">
        <v>75</v>
      </c>
      <c r="J1463" s="2">
        <v>0</v>
      </c>
      <c r="K1463" s="8" t="s">
        <v>864</v>
      </c>
      <c r="L1463" s="43" t="s">
        <v>965</v>
      </c>
      <c r="P1463" s="41">
        <v>5</v>
      </c>
      <c r="Q1463" s="41">
        <v>7</v>
      </c>
      <c r="R1463" s="41">
        <v>70</v>
      </c>
      <c r="S1463" t="s">
        <v>3321</v>
      </c>
      <c r="AH1463" t="s">
        <v>359</v>
      </c>
    </row>
    <row r="1464" spans="1:34" ht="15.75">
      <c r="A1464" s="29">
        <f t="shared" si="22"/>
        <v>169</v>
      </c>
      <c r="B1464" s="2">
        <v>641</v>
      </c>
      <c r="C1464" s="2">
        <v>9</v>
      </c>
      <c r="D1464" s="2">
        <v>1817</v>
      </c>
      <c r="E1464">
        <v>6154</v>
      </c>
      <c r="G1464" s="1"/>
      <c r="H1464" s="1" t="s">
        <v>1541</v>
      </c>
      <c r="I1464" s="2">
        <v>169</v>
      </c>
      <c r="J1464" s="2">
        <v>0</v>
      </c>
      <c r="K1464" s="8" t="s">
        <v>864</v>
      </c>
      <c r="L1464" s="43" t="s">
        <v>965</v>
      </c>
      <c r="P1464" s="41">
        <v>20</v>
      </c>
      <c r="Q1464" s="41">
        <v>10</v>
      </c>
      <c r="R1464" s="41">
        <v>73</v>
      </c>
      <c r="S1464" t="s">
        <v>1547</v>
      </c>
      <c r="AH1464" t="s">
        <v>359</v>
      </c>
    </row>
    <row r="1465" spans="1:34" ht="15.75">
      <c r="A1465" s="29">
        <f t="shared" si="22"/>
        <v>29</v>
      </c>
      <c r="B1465" s="2">
        <v>641</v>
      </c>
      <c r="C1465" s="2">
        <v>9</v>
      </c>
      <c r="D1465" s="2">
        <v>1817</v>
      </c>
      <c r="E1465">
        <v>6155</v>
      </c>
      <c r="G1465" s="1"/>
      <c r="H1465" s="1" t="s">
        <v>1540</v>
      </c>
      <c r="I1465" s="2">
        <v>29</v>
      </c>
      <c r="J1465" s="2">
        <v>0</v>
      </c>
      <c r="K1465" s="8" t="s">
        <v>864</v>
      </c>
      <c r="L1465" s="43" t="s">
        <v>5718</v>
      </c>
      <c r="P1465" s="41">
        <v>13</v>
      </c>
      <c r="Q1465" s="41">
        <v>6</v>
      </c>
      <c r="R1465" s="41">
        <v>67</v>
      </c>
      <c r="S1465" t="s">
        <v>3321</v>
      </c>
      <c r="AH1465" t="s">
        <v>359</v>
      </c>
    </row>
    <row r="1466" spans="1:34" ht="15.75">
      <c r="A1466" s="29">
        <f t="shared" si="22"/>
        <v>2485</v>
      </c>
      <c r="B1466" s="2">
        <v>641</v>
      </c>
      <c r="C1466" s="2">
        <v>9</v>
      </c>
      <c r="D1466" s="2">
        <v>1817</v>
      </c>
      <c r="E1466">
        <v>6156</v>
      </c>
      <c r="G1466" s="1"/>
      <c r="H1466" s="1" t="s">
        <v>1541</v>
      </c>
      <c r="I1466" s="2">
        <f>158+2327</f>
        <v>2485</v>
      </c>
      <c r="J1466" s="2">
        <v>0</v>
      </c>
      <c r="K1466" s="8" t="s">
        <v>864</v>
      </c>
      <c r="L1466" s="43" t="s">
        <v>5718</v>
      </c>
      <c r="P1466" s="41">
        <v>21</v>
      </c>
      <c r="Q1466" s="41">
        <v>11</v>
      </c>
      <c r="R1466" s="41">
        <v>40</v>
      </c>
      <c r="S1466" t="s">
        <v>3321</v>
      </c>
      <c r="AH1466" t="s">
        <v>359</v>
      </c>
    </row>
    <row r="1467" spans="1:34" ht="15.75">
      <c r="A1467" s="29">
        <f t="shared" si="22"/>
        <v>53857</v>
      </c>
      <c r="B1467" s="2">
        <v>642</v>
      </c>
      <c r="C1467" s="2">
        <v>9</v>
      </c>
      <c r="D1467" s="2">
        <v>1817</v>
      </c>
      <c r="E1467">
        <v>6212</v>
      </c>
      <c r="G1467" s="1"/>
      <c r="H1467" s="1" t="s">
        <v>1540</v>
      </c>
      <c r="I1467" s="2">
        <v>7257</v>
      </c>
      <c r="J1467" s="2">
        <v>2330</v>
      </c>
      <c r="K1467" s="8" t="s">
        <v>864</v>
      </c>
      <c r="L1467" s="43" t="s">
        <v>1758</v>
      </c>
      <c r="M1467" s="41" t="s">
        <v>3362</v>
      </c>
      <c r="N1467" s="43" t="s">
        <v>974</v>
      </c>
      <c r="O1467" s="43" t="s">
        <v>1760</v>
      </c>
      <c r="P1467" s="41">
        <v>17</v>
      </c>
      <c r="Q1467" s="41">
        <v>8</v>
      </c>
      <c r="R1467" s="41">
        <v>70</v>
      </c>
      <c r="S1467" t="s">
        <v>1759</v>
      </c>
      <c r="T1467" s="8" t="s">
        <v>1761</v>
      </c>
      <c r="V1467" s="8" t="s">
        <v>1261</v>
      </c>
      <c r="X1467">
        <v>1</v>
      </c>
      <c r="Y1467" s="8" t="s">
        <v>1760</v>
      </c>
      <c r="AH1467" t="s">
        <v>359</v>
      </c>
    </row>
    <row r="1468" spans="1:34" ht="15.75">
      <c r="A1468" s="29">
        <f t="shared" si="22"/>
        <v>130</v>
      </c>
      <c r="B1468" s="2">
        <v>642</v>
      </c>
      <c r="C1468" s="2">
        <v>9</v>
      </c>
      <c r="D1468" s="2">
        <v>1817</v>
      </c>
      <c r="E1468">
        <v>6213</v>
      </c>
      <c r="G1468" s="1"/>
      <c r="H1468" s="1" t="s">
        <v>1541</v>
      </c>
      <c r="I1468" s="2">
        <v>130</v>
      </c>
      <c r="J1468" s="2">
        <v>0</v>
      </c>
      <c r="K1468" s="8" t="s">
        <v>864</v>
      </c>
      <c r="L1468" s="43" t="s">
        <v>968</v>
      </c>
      <c r="P1468" s="41">
        <v>17</v>
      </c>
      <c r="Q1468" s="41">
        <v>7</v>
      </c>
      <c r="R1468" s="41">
        <v>74</v>
      </c>
      <c r="S1468" t="s">
        <v>3321</v>
      </c>
      <c r="AH1468" t="s">
        <v>359</v>
      </c>
    </row>
    <row r="1469" spans="1:34" ht="15.75">
      <c r="A1469" s="29">
        <f t="shared" si="22"/>
        <v>24163</v>
      </c>
      <c r="B1469" s="2">
        <v>642</v>
      </c>
      <c r="C1469" s="2">
        <v>9</v>
      </c>
      <c r="D1469" s="2">
        <v>1817</v>
      </c>
      <c r="E1469">
        <v>6214</v>
      </c>
      <c r="G1469" s="1"/>
      <c r="H1469" s="1" t="s">
        <v>850</v>
      </c>
      <c r="I1469" s="2">
        <f>418+23745</f>
        <v>24163</v>
      </c>
      <c r="J1469" s="2">
        <v>0</v>
      </c>
      <c r="K1469" s="8" t="s">
        <v>864</v>
      </c>
      <c r="L1469" s="43" t="s">
        <v>1762</v>
      </c>
      <c r="M1469" s="41" t="s">
        <v>1367</v>
      </c>
      <c r="N1469" s="43" t="s">
        <v>974</v>
      </c>
      <c r="O1469" s="43" t="s">
        <v>1764</v>
      </c>
      <c r="P1469" s="41">
        <v>26</v>
      </c>
      <c r="Q1469" s="41">
        <v>4</v>
      </c>
      <c r="R1469" s="41">
        <v>53</v>
      </c>
      <c r="S1469" t="s">
        <v>1763</v>
      </c>
      <c r="T1469" s="8" t="s">
        <v>1765</v>
      </c>
      <c r="V1469" s="8" t="s">
        <v>1766</v>
      </c>
      <c r="AH1469" t="s">
        <v>359</v>
      </c>
    </row>
    <row r="1470" spans="1:34" ht="15.75">
      <c r="A1470" s="29">
        <f t="shared" si="22"/>
        <v>30</v>
      </c>
      <c r="B1470" s="2">
        <v>642</v>
      </c>
      <c r="C1470" s="2">
        <v>9</v>
      </c>
      <c r="D1470" s="2">
        <v>1817</v>
      </c>
      <c r="E1470">
        <v>6215</v>
      </c>
      <c r="G1470" s="1"/>
      <c r="H1470" s="1" t="s">
        <v>1549</v>
      </c>
      <c r="I1470" s="2">
        <v>30</v>
      </c>
      <c r="J1470" s="2">
        <v>0</v>
      </c>
      <c r="K1470" s="8" t="s">
        <v>864</v>
      </c>
      <c r="L1470" s="43" t="s">
        <v>970</v>
      </c>
      <c r="P1470" s="41">
        <v>17</v>
      </c>
      <c r="Q1470" s="41">
        <v>8</v>
      </c>
      <c r="R1470" s="41">
        <v>75</v>
      </c>
      <c r="S1470" t="s">
        <v>3321</v>
      </c>
      <c r="AH1470" t="s">
        <v>359</v>
      </c>
    </row>
    <row r="1471" spans="1:34" ht="15.75">
      <c r="A1471" s="29">
        <f t="shared" si="22"/>
        <v>18343</v>
      </c>
      <c r="B1471" s="2">
        <v>642</v>
      </c>
      <c r="C1471" s="2">
        <v>9</v>
      </c>
      <c r="D1471" s="2">
        <v>1817</v>
      </c>
      <c r="E1471">
        <v>6216</v>
      </c>
      <c r="G1471" s="1"/>
      <c r="H1471" s="1" t="s">
        <v>850</v>
      </c>
      <c r="I1471" s="2">
        <v>843</v>
      </c>
      <c r="J1471" s="2">
        <v>1750</v>
      </c>
      <c r="K1471" s="8" t="s">
        <v>864</v>
      </c>
      <c r="L1471" s="43" t="s">
        <v>1767</v>
      </c>
      <c r="M1471" s="41" t="s">
        <v>1769</v>
      </c>
      <c r="O1471" s="41" t="s">
        <v>1770</v>
      </c>
      <c r="P1471" s="41">
        <v>23</v>
      </c>
      <c r="Q1471" s="41">
        <v>12</v>
      </c>
      <c r="R1471" s="41">
        <v>42</v>
      </c>
      <c r="S1471" t="s">
        <v>1768</v>
      </c>
      <c r="T1471" t="s">
        <v>1771</v>
      </c>
      <c r="V1471" t="s">
        <v>1772</v>
      </c>
      <c r="X1471">
        <v>0.5</v>
      </c>
      <c r="Y1471" t="s">
        <v>1773</v>
      </c>
      <c r="AH1471" t="s">
        <v>359</v>
      </c>
    </row>
    <row r="1472" spans="1:34" ht="15.75">
      <c r="A1472" s="29">
        <f t="shared" si="22"/>
        <v>84177</v>
      </c>
      <c r="B1472" s="2">
        <v>642</v>
      </c>
      <c r="C1472" s="2">
        <v>9</v>
      </c>
      <c r="D1472" s="2">
        <v>1817</v>
      </c>
      <c r="E1472">
        <v>6218</v>
      </c>
      <c r="G1472" s="1"/>
      <c r="H1472" s="1" t="s">
        <v>1541</v>
      </c>
      <c r="I1472" s="2">
        <f>15851+3866+64460</f>
        <v>84177</v>
      </c>
      <c r="J1472" s="2">
        <v>0</v>
      </c>
      <c r="K1472" s="8" t="s">
        <v>864</v>
      </c>
      <c r="L1472" s="43" t="s">
        <v>1776</v>
      </c>
      <c r="M1472" s="41" t="s">
        <v>1411</v>
      </c>
      <c r="O1472" s="41" t="s">
        <v>1778</v>
      </c>
      <c r="P1472" s="41">
        <v>26</v>
      </c>
      <c r="Q1472" s="41">
        <v>10</v>
      </c>
      <c r="R1472" s="41">
        <v>69</v>
      </c>
      <c r="S1472" t="s">
        <v>1777</v>
      </c>
      <c r="T1472" t="s">
        <v>3242</v>
      </c>
      <c r="V1472" t="s">
        <v>1779</v>
      </c>
      <c r="AH1472" t="s">
        <v>359</v>
      </c>
    </row>
    <row r="1473" spans="1:34" ht="15.75">
      <c r="A1473" s="29">
        <f t="shared" si="22"/>
        <v>135</v>
      </c>
      <c r="B1473" s="2">
        <v>642</v>
      </c>
      <c r="C1473" s="2">
        <v>9</v>
      </c>
      <c r="D1473" s="2">
        <v>1817</v>
      </c>
      <c r="E1473">
        <v>6219</v>
      </c>
      <c r="G1473" s="1"/>
      <c r="H1473" s="1" t="s">
        <v>1549</v>
      </c>
      <c r="I1473" s="2">
        <v>135</v>
      </c>
      <c r="J1473" s="2">
        <v>0</v>
      </c>
      <c r="K1473" s="8" t="s">
        <v>864</v>
      </c>
      <c r="L1473" s="43" t="s">
        <v>5720</v>
      </c>
      <c r="P1473" s="41">
        <v>16</v>
      </c>
      <c r="Q1473" s="41">
        <v>8</v>
      </c>
      <c r="R1473" s="41">
        <v>78</v>
      </c>
      <c r="S1473" t="s">
        <v>1266</v>
      </c>
      <c r="AH1473" t="s">
        <v>359</v>
      </c>
    </row>
    <row r="1474" spans="1:34" ht="15.75">
      <c r="A1474" s="29">
        <f aca="true" t="shared" si="23" ref="A1474:A1537">I1474+J1474*20*X1474</f>
        <v>2418</v>
      </c>
      <c r="B1474" s="2">
        <v>642</v>
      </c>
      <c r="C1474" s="2">
        <v>9</v>
      </c>
      <c r="D1474" s="2">
        <v>1817</v>
      </c>
      <c r="E1474">
        <v>6220</v>
      </c>
      <c r="G1474" s="1"/>
      <c r="H1474" s="1" t="s">
        <v>1549</v>
      </c>
      <c r="I1474" s="2">
        <v>2418</v>
      </c>
      <c r="J1474" s="2">
        <v>0</v>
      </c>
      <c r="K1474" s="8" t="s">
        <v>864</v>
      </c>
      <c r="L1474" s="43" t="s">
        <v>5720</v>
      </c>
      <c r="P1474" s="41">
        <v>18</v>
      </c>
      <c r="Q1474" s="41">
        <v>11</v>
      </c>
      <c r="R1474" s="41">
        <v>36</v>
      </c>
      <c r="S1474" t="s">
        <v>3343</v>
      </c>
      <c r="AH1474" t="s">
        <v>359</v>
      </c>
    </row>
    <row r="1475" spans="1:34" ht="15.75">
      <c r="A1475" s="29">
        <f t="shared" si="23"/>
        <v>131</v>
      </c>
      <c r="B1475" s="2">
        <v>642</v>
      </c>
      <c r="C1475" s="2">
        <v>9</v>
      </c>
      <c r="D1475" s="2">
        <v>1817</v>
      </c>
      <c r="E1475">
        <v>6222</v>
      </c>
      <c r="G1475" s="1"/>
      <c r="H1475" s="1" t="s">
        <v>850</v>
      </c>
      <c r="I1475" s="2">
        <v>131</v>
      </c>
      <c r="J1475" s="2">
        <v>0</v>
      </c>
      <c r="K1475" s="8" t="s">
        <v>864</v>
      </c>
      <c r="L1475" s="43" t="s">
        <v>1396</v>
      </c>
      <c r="P1475" s="41">
        <v>3</v>
      </c>
      <c r="Q1475" s="41">
        <v>10</v>
      </c>
      <c r="R1475" s="41" t="s">
        <v>1547</v>
      </c>
      <c r="S1475" t="s">
        <v>1547</v>
      </c>
      <c r="AH1475" t="s">
        <v>359</v>
      </c>
    </row>
    <row r="1476" spans="1:34" ht="15.75">
      <c r="A1476" s="29">
        <f t="shared" si="23"/>
        <v>54</v>
      </c>
      <c r="B1476" s="2">
        <v>642</v>
      </c>
      <c r="C1476" s="2">
        <v>9</v>
      </c>
      <c r="D1476" s="2">
        <v>1817</v>
      </c>
      <c r="E1476">
        <v>6224</v>
      </c>
      <c r="G1476" s="1"/>
      <c r="H1476" s="1" t="s">
        <v>1549</v>
      </c>
      <c r="I1476" s="2">
        <v>54</v>
      </c>
      <c r="J1476" s="2">
        <v>0</v>
      </c>
      <c r="K1476" s="8" t="s">
        <v>864</v>
      </c>
      <c r="L1476" s="43" t="s">
        <v>3667</v>
      </c>
      <c r="P1476" s="41">
        <v>7</v>
      </c>
      <c r="Q1476" s="41">
        <v>8</v>
      </c>
      <c r="R1476" s="41">
        <v>49</v>
      </c>
      <c r="S1476" t="s">
        <v>3321</v>
      </c>
      <c r="AH1476" t="s">
        <v>359</v>
      </c>
    </row>
    <row r="1477" spans="1:34" ht="15.75">
      <c r="A1477" s="39">
        <f t="shared" si="23"/>
        <v>43</v>
      </c>
      <c r="B1477" s="2">
        <v>642</v>
      </c>
      <c r="C1477" s="2">
        <v>9</v>
      </c>
      <c r="D1477" s="2">
        <v>1817</v>
      </c>
      <c r="E1477">
        <v>6226</v>
      </c>
      <c r="G1477" s="1"/>
      <c r="H1477" s="1" t="s">
        <v>850</v>
      </c>
      <c r="I1477" s="2">
        <v>43</v>
      </c>
      <c r="J1477" s="2">
        <v>0</v>
      </c>
      <c r="K1477" s="8" t="s">
        <v>864</v>
      </c>
      <c r="L1477" s="43" t="s">
        <v>1793</v>
      </c>
      <c r="P1477" s="41">
        <v>20</v>
      </c>
      <c r="Q1477" s="41">
        <v>5</v>
      </c>
      <c r="R1477" s="41">
        <v>38</v>
      </c>
      <c r="S1477" t="s">
        <v>3321</v>
      </c>
      <c r="AH1477" t="s">
        <v>359</v>
      </c>
    </row>
    <row r="1478" spans="1:34" ht="15.75">
      <c r="A1478" s="29">
        <f t="shared" si="23"/>
        <v>87433</v>
      </c>
      <c r="B1478" s="2">
        <v>642</v>
      </c>
      <c r="C1478" s="2">
        <v>9</v>
      </c>
      <c r="D1478" s="2">
        <v>1817</v>
      </c>
      <c r="E1478">
        <v>6227</v>
      </c>
      <c r="G1478" s="1"/>
      <c r="H1478" s="1" t="s">
        <v>1540</v>
      </c>
      <c r="I1478" s="2">
        <v>75433</v>
      </c>
      <c r="J1478" s="2">
        <v>1200</v>
      </c>
      <c r="K1478" s="8" t="s">
        <v>864</v>
      </c>
      <c r="L1478" s="43" t="s">
        <v>1794</v>
      </c>
      <c r="M1478" s="41" t="s">
        <v>1796</v>
      </c>
      <c r="N1478" s="43" t="s">
        <v>1797</v>
      </c>
      <c r="O1478" s="41" t="s">
        <v>1798</v>
      </c>
      <c r="P1478" s="41">
        <v>17</v>
      </c>
      <c r="Q1478" s="41">
        <v>10</v>
      </c>
      <c r="R1478" s="41">
        <v>50</v>
      </c>
      <c r="S1478" t="s">
        <v>1795</v>
      </c>
      <c r="T1478" t="s">
        <v>1799</v>
      </c>
      <c r="V1478" t="s">
        <v>1800</v>
      </c>
      <c r="X1478">
        <v>0.5</v>
      </c>
      <c r="Y1478" t="s">
        <v>1801</v>
      </c>
      <c r="AH1478" t="s">
        <v>359</v>
      </c>
    </row>
    <row r="1479" spans="1:34" ht="15.75">
      <c r="A1479" s="29">
        <f t="shared" si="23"/>
        <v>45</v>
      </c>
      <c r="B1479" s="2">
        <v>642</v>
      </c>
      <c r="C1479" s="2">
        <v>9</v>
      </c>
      <c r="D1479" s="2">
        <v>1817</v>
      </c>
      <c r="E1479">
        <v>6228</v>
      </c>
      <c r="G1479" s="1"/>
      <c r="H1479" s="1" t="s">
        <v>850</v>
      </c>
      <c r="I1479" s="2">
        <v>45</v>
      </c>
      <c r="J1479" s="2">
        <v>0</v>
      </c>
      <c r="K1479" s="8" t="s">
        <v>864</v>
      </c>
      <c r="L1479" s="43" t="s">
        <v>3659</v>
      </c>
      <c r="P1479" s="41">
        <v>24</v>
      </c>
      <c r="Q1479" s="41">
        <v>2</v>
      </c>
      <c r="R1479" s="41">
        <v>62</v>
      </c>
      <c r="S1479" t="s">
        <v>3329</v>
      </c>
      <c r="AH1479" t="s">
        <v>359</v>
      </c>
    </row>
    <row r="1480" spans="1:34" ht="15.75">
      <c r="A1480" s="29">
        <f t="shared" si="23"/>
        <v>6409</v>
      </c>
      <c r="B1480" s="8">
        <v>643</v>
      </c>
      <c r="C1480" s="2">
        <v>9</v>
      </c>
      <c r="D1480" s="2">
        <v>1817</v>
      </c>
      <c r="E1480">
        <v>6229</v>
      </c>
      <c r="F1480" s="9"/>
      <c r="G1480" s="7"/>
      <c r="H1480" s="7" t="s">
        <v>1540</v>
      </c>
      <c r="I1480" s="8">
        <v>1009</v>
      </c>
      <c r="J1480" s="8">
        <v>270</v>
      </c>
      <c r="K1480" s="8" t="s">
        <v>864</v>
      </c>
      <c r="L1480" s="43" t="s">
        <v>3642</v>
      </c>
      <c r="P1480" s="41">
        <v>16</v>
      </c>
      <c r="Q1480" s="41">
        <v>11</v>
      </c>
      <c r="R1480" s="41">
        <v>57</v>
      </c>
      <c r="S1480" t="s">
        <v>3321</v>
      </c>
      <c r="X1480">
        <v>1</v>
      </c>
      <c r="Y1480" t="s">
        <v>1802</v>
      </c>
      <c r="AH1480" t="s">
        <v>359</v>
      </c>
    </row>
    <row r="1481" spans="1:34" ht="15.75">
      <c r="A1481" s="29">
        <f t="shared" si="23"/>
        <v>48</v>
      </c>
      <c r="B1481" s="8">
        <v>643</v>
      </c>
      <c r="C1481" s="2">
        <v>9</v>
      </c>
      <c r="D1481" s="2">
        <v>1817</v>
      </c>
      <c r="E1481">
        <v>6231</v>
      </c>
      <c r="F1481" s="9"/>
      <c r="G1481" s="7"/>
      <c r="H1481" s="7" t="s">
        <v>1540</v>
      </c>
      <c r="I1481" s="8">
        <v>48</v>
      </c>
      <c r="J1481" s="8">
        <v>0</v>
      </c>
      <c r="K1481" s="8" t="s">
        <v>864</v>
      </c>
      <c r="L1481" s="43" t="s">
        <v>3660</v>
      </c>
      <c r="P1481" s="41">
        <v>9</v>
      </c>
      <c r="Q1481" s="41">
        <v>8</v>
      </c>
      <c r="R1481" s="41">
        <v>46</v>
      </c>
      <c r="S1481" t="s">
        <v>3321</v>
      </c>
      <c r="AH1481" t="s">
        <v>359</v>
      </c>
    </row>
    <row r="1482" spans="1:34" ht="15.75">
      <c r="A1482" s="29">
        <f t="shared" si="23"/>
        <v>137</v>
      </c>
      <c r="B1482" s="8">
        <v>643</v>
      </c>
      <c r="C1482" s="2">
        <v>9</v>
      </c>
      <c r="D1482" s="2">
        <v>1817</v>
      </c>
      <c r="E1482">
        <v>6232</v>
      </c>
      <c r="F1482" s="9"/>
      <c r="G1482" s="7"/>
      <c r="H1482" s="7" t="s">
        <v>1541</v>
      </c>
      <c r="I1482" s="8">
        <v>137</v>
      </c>
      <c r="J1482" s="8">
        <v>0</v>
      </c>
      <c r="K1482" s="8" t="s">
        <v>864</v>
      </c>
      <c r="L1482" s="43" t="s">
        <v>5724</v>
      </c>
      <c r="P1482" s="41">
        <v>19</v>
      </c>
      <c r="Q1482" s="41">
        <v>6</v>
      </c>
      <c r="R1482" s="41">
        <v>55</v>
      </c>
      <c r="S1482" t="s">
        <v>3321</v>
      </c>
      <c r="AH1482" t="s">
        <v>359</v>
      </c>
    </row>
    <row r="1483" spans="1:34" ht="15.75">
      <c r="A1483" s="29">
        <f t="shared" si="23"/>
        <v>51</v>
      </c>
      <c r="B1483" s="8">
        <v>643</v>
      </c>
      <c r="C1483" s="2">
        <v>9</v>
      </c>
      <c r="D1483" s="2">
        <v>1817</v>
      </c>
      <c r="E1483">
        <v>6234</v>
      </c>
      <c r="F1483" s="9"/>
      <c r="G1483" s="7"/>
      <c r="H1483" s="7" t="s">
        <v>1540</v>
      </c>
      <c r="I1483" s="8">
        <v>51</v>
      </c>
      <c r="J1483" s="8">
        <v>0</v>
      </c>
      <c r="K1483" s="8" t="s">
        <v>864</v>
      </c>
      <c r="L1483" s="43" t="s">
        <v>5724</v>
      </c>
      <c r="P1483" s="41">
        <v>30</v>
      </c>
      <c r="Q1483" s="41">
        <v>10</v>
      </c>
      <c r="R1483" s="41">
        <v>63</v>
      </c>
      <c r="S1483" t="s">
        <v>3321</v>
      </c>
      <c r="AH1483" t="s">
        <v>359</v>
      </c>
    </row>
    <row r="1484" spans="1:34" ht="15.75">
      <c r="A1484" s="29">
        <f t="shared" si="23"/>
        <v>104</v>
      </c>
      <c r="B1484" s="8">
        <v>643</v>
      </c>
      <c r="C1484" s="2">
        <v>9</v>
      </c>
      <c r="D1484" s="2">
        <v>1817</v>
      </c>
      <c r="E1484">
        <v>6235</v>
      </c>
      <c r="F1484" s="9"/>
      <c r="G1484" s="7"/>
      <c r="H1484" s="7" t="s">
        <v>1540</v>
      </c>
      <c r="I1484" s="8">
        <v>104</v>
      </c>
      <c r="J1484" s="8">
        <v>0</v>
      </c>
      <c r="K1484" s="8" t="s">
        <v>864</v>
      </c>
      <c r="L1484" s="43" t="s">
        <v>5725</v>
      </c>
      <c r="P1484" s="41">
        <v>11</v>
      </c>
      <c r="Q1484" s="41">
        <v>2</v>
      </c>
      <c r="R1484" s="41">
        <v>34</v>
      </c>
      <c r="S1484" t="s">
        <v>3343</v>
      </c>
      <c r="AH1484" t="s">
        <v>359</v>
      </c>
    </row>
    <row r="1485" spans="1:34" ht="15.75">
      <c r="A1485" s="29">
        <f t="shared" si="23"/>
        <v>6641</v>
      </c>
      <c r="B1485" s="8">
        <v>643</v>
      </c>
      <c r="C1485" s="2">
        <v>9</v>
      </c>
      <c r="D1485" s="2">
        <v>1817</v>
      </c>
      <c r="E1485">
        <v>6236</v>
      </c>
      <c r="F1485" s="9"/>
      <c r="G1485" s="7"/>
      <c r="H1485" s="7" t="s">
        <v>1540</v>
      </c>
      <c r="I1485" s="8">
        <v>6641</v>
      </c>
      <c r="J1485" s="8">
        <v>0</v>
      </c>
      <c r="K1485" s="8" t="s">
        <v>864</v>
      </c>
      <c r="L1485" s="43" t="s">
        <v>5725</v>
      </c>
      <c r="O1485" s="41" t="s">
        <v>3634</v>
      </c>
      <c r="P1485" s="41">
        <v>5</v>
      </c>
      <c r="Q1485" s="41">
        <v>9</v>
      </c>
      <c r="R1485" s="41">
        <v>72</v>
      </c>
      <c r="S1485" t="s">
        <v>1547</v>
      </c>
      <c r="T1485" t="s">
        <v>531</v>
      </c>
      <c r="AH1485" t="s">
        <v>359</v>
      </c>
    </row>
    <row r="1486" spans="1:34" ht="15.75">
      <c r="A1486" s="29">
        <f t="shared" si="23"/>
        <v>5170</v>
      </c>
      <c r="B1486" s="8">
        <v>643</v>
      </c>
      <c r="C1486" s="2">
        <v>9</v>
      </c>
      <c r="D1486" s="2">
        <v>1817</v>
      </c>
      <c r="E1486">
        <v>6237</v>
      </c>
      <c r="F1486" s="9"/>
      <c r="G1486" s="7"/>
      <c r="H1486" s="7" t="s">
        <v>1540</v>
      </c>
      <c r="I1486" s="8">
        <f>3670+1500</f>
        <v>5170</v>
      </c>
      <c r="J1486" s="8">
        <v>0</v>
      </c>
      <c r="K1486" s="8" t="s">
        <v>864</v>
      </c>
      <c r="L1486" s="43" t="s">
        <v>5725</v>
      </c>
      <c r="P1486" s="41">
        <v>8</v>
      </c>
      <c r="Q1486" s="41">
        <v>11</v>
      </c>
      <c r="R1486" s="41">
        <v>63</v>
      </c>
      <c r="S1486" t="s">
        <v>3321</v>
      </c>
      <c r="AH1486" t="s">
        <v>359</v>
      </c>
    </row>
    <row r="1487" spans="1:34" ht="15.75">
      <c r="A1487" s="29">
        <f t="shared" si="23"/>
        <v>48</v>
      </c>
      <c r="B1487" s="8">
        <v>643</v>
      </c>
      <c r="C1487" s="2">
        <v>9</v>
      </c>
      <c r="D1487" s="2">
        <v>1817</v>
      </c>
      <c r="E1487">
        <v>6238</v>
      </c>
      <c r="F1487" s="9"/>
      <c r="G1487" s="7"/>
      <c r="H1487" s="7" t="s">
        <v>1540</v>
      </c>
      <c r="I1487" s="8">
        <v>48</v>
      </c>
      <c r="J1487" s="8">
        <v>0</v>
      </c>
      <c r="K1487" s="8" t="s">
        <v>864</v>
      </c>
      <c r="L1487" s="43" t="s">
        <v>532</v>
      </c>
      <c r="P1487" s="41">
        <v>25</v>
      </c>
      <c r="Q1487" s="41">
        <v>3</v>
      </c>
      <c r="R1487" s="41">
        <v>21</v>
      </c>
      <c r="S1487" t="s">
        <v>3343</v>
      </c>
      <c r="AH1487" t="s">
        <v>359</v>
      </c>
    </row>
    <row r="1488" spans="1:34" ht="15.75">
      <c r="A1488" s="29">
        <f t="shared" si="23"/>
        <v>635</v>
      </c>
      <c r="B1488" s="8">
        <v>643</v>
      </c>
      <c r="C1488" s="2">
        <v>9</v>
      </c>
      <c r="D1488" s="2">
        <v>1817</v>
      </c>
      <c r="E1488">
        <v>6239</v>
      </c>
      <c r="F1488" s="9"/>
      <c r="G1488" s="7"/>
      <c r="H1488" s="7" t="s">
        <v>1541</v>
      </c>
      <c r="I1488" s="8">
        <f>125+510</f>
        <v>635</v>
      </c>
      <c r="J1488" s="8">
        <v>0</v>
      </c>
      <c r="K1488" s="8" t="s">
        <v>864</v>
      </c>
      <c r="L1488" s="43" t="s">
        <v>5726</v>
      </c>
      <c r="P1488" s="41">
        <v>24</v>
      </c>
      <c r="Q1488" s="41">
        <v>5</v>
      </c>
      <c r="R1488" s="41">
        <v>28</v>
      </c>
      <c r="S1488" t="s">
        <v>3343</v>
      </c>
      <c r="AH1488" t="s">
        <v>359</v>
      </c>
    </row>
    <row r="1489" spans="1:34" ht="15.75">
      <c r="A1489" s="29">
        <f t="shared" si="23"/>
        <v>59</v>
      </c>
      <c r="B1489" s="8">
        <v>643</v>
      </c>
      <c r="C1489" s="2">
        <v>9</v>
      </c>
      <c r="D1489" s="2">
        <v>1817</v>
      </c>
      <c r="E1489">
        <v>6240</v>
      </c>
      <c r="F1489" s="9"/>
      <c r="G1489" s="7"/>
      <c r="H1489" s="7" t="s">
        <v>1541</v>
      </c>
      <c r="I1489" s="8">
        <v>59</v>
      </c>
      <c r="J1489" s="8">
        <v>0</v>
      </c>
      <c r="K1489" s="8" t="s">
        <v>864</v>
      </c>
      <c r="L1489" s="43" t="s">
        <v>5726</v>
      </c>
      <c r="P1489" s="41">
        <v>6</v>
      </c>
      <c r="Q1489" s="41">
        <v>6</v>
      </c>
      <c r="R1489" s="41">
        <v>82</v>
      </c>
      <c r="S1489" t="s">
        <v>3329</v>
      </c>
      <c r="AH1489" t="s">
        <v>359</v>
      </c>
    </row>
    <row r="1490" spans="1:34" ht="15.75">
      <c r="A1490" s="29">
        <f t="shared" si="23"/>
        <v>156553</v>
      </c>
      <c r="B1490" s="8">
        <v>643</v>
      </c>
      <c r="C1490" s="2">
        <v>9</v>
      </c>
      <c r="D1490" s="2">
        <v>1817</v>
      </c>
      <c r="E1490">
        <v>6241</v>
      </c>
      <c r="F1490" s="9"/>
      <c r="G1490" s="7"/>
      <c r="H1490" s="7" t="s">
        <v>1540</v>
      </c>
      <c r="I1490" s="8">
        <v>117553</v>
      </c>
      <c r="J1490" s="8">
        <v>3900</v>
      </c>
      <c r="K1490" s="8" t="s">
        <v>864</v>
      </c>
      <c r="L1490" s="43" t="s">
        <v>533</v>
      </c>
      <c r="M1490" s="41" t="s">
        <v>535</v>
      </c>
      <c r="N1490" s="41" t="s">
        <v>1555</v>
      </c>
      <c r="O1490" s="41" t="s">
        <v>536</v>
      </c>
      <c r="P1490" s="41">
        <v>25</v>
      </c>
      <c r="Q1490" s="41">
        <v>9</v>
      </c>
      <c r="S1490" t="s">
        <v>534</v>
      </c>
      <c r="T1490" t="s">
        <v>538</v>
      </c>
      <c r="U1490" t="s">
        <v>537</v>
      </c>
      <c r="V1490" t="s">
        <v>3280</v>
      </c>
      <c r="X1490">
        <v>0.5</v>
      </c>
      <c r="Y1490" t="s">
        <v>536</v>
      </c>
      <c r="AH1490" t="s">
        <v>359</v>
      </c>
    </row>
    <row r="1491" spans="1:34" ht="15.75">
      <c r="A1491" s="29">
        <f t="shared" si="23"/>
        <v>415</v>
      </c>
      <c r="B1491" s="8">
        <v>643</v>
      </c>
      <c r="C1491" s="2">
        <v>9</v>
      </c>
      <c r="D1491" s="2">
        <v>1817</v>
      </c>
      <c r="E1491">
        <v>6242</v>
      </c>
      <c r="F1491" s="9"/>
      <c r="G1491" s="7"/>
      <c r="H1491" s="7" t="s">
        <v>1540</v>
      </c>
      <c r="I1491" s="8">
        <v>415</v>
      </c>
      <c r="J1491" s="8">
        <v>0</v>
      </c>
      <c r="K1491" s="8" t="s">
        <v>864</v>
      </c>
      <c r="L1491" s="43" t="s">
        <v>3668</v>
      </c>
      <c r="P1491" s="41">
        <v>27</v>
      </c>
      <c r="Q1491" s="41">
        <v>1</v>
      </c>
      <c r="R1491" s="41">
        <v>32</v>
      </c>
      <c r="S1491" t="s">
        <v>3321</v>
      </c>
      <c r="AH1491" t="s">
        <v>359</v>
      </c>
    </row>
    <row r="1492" spans="1:34" ht="15.75">
      <c r="A1492" s="29">
        <f t="shared" si="23"/>
        <v>3072</v>
      </c>
      <c r="B1492" s="2">
        <v>643</v>
      </c>
      <c r="C1492" s="2">
        <v>9</v>
      </c>
      <c r="D1492" s="2">
        <v>1817</v>
      </c>
      <c r="E1492">
        <v>6243</v>
      </c>
      <c r="G1492" s="1"/>
      <c r="H1492" s="1" t="s">
        <v>850</v>
      </c>
      <c r="I1492" s="2">
        <v>3072</v>
      </c>
      <c r="J1492" s="2">
        <v>0</v>
      </c>
      <c r="K1492" s="8" t="s">
        <v>864</v>
      </c>
      <c r="L1492" s="43" t="s">
        <v>539</v>
      </c>
      <c r="P1492" s="41">
        <v>17</v>
      </c>
      <c r="Q1492" s="41">
        <v>8</v>
      </c>
      <c r="R1492" s="41">
        <v>29</v>
      </c>
      <c r="S1492" t="s">
        <v>3343</v>
      </c>
      <c r="AH1492" t="s">
        <v>359</v>
      </c>
    </row>
    <row r="1493" spans="1:34" ht="15.75">
      <c r="A1493" s="29">
        <f t="shared" si="23"/>
        <v>11957</v>
      </c>
      <c r="B1493" s="2">
        <v>643</v>
      </c>
      <c r="C1493" s="2">
        <v>9</v>
      </c>
      <c r="D1493" s="2">
        <v>1817</v>
      </c>
      <c r="E1493">
        <v>6244</v>
      </c>
      <c r="G1493" s="1"/>
      <c r="H1493" s="1" t="s">
        <v>1540</v>
      </c>
      <c r="I1493" s="2">
        <v>11957</v>
      </c>
      <c r="J1493" s="2">
        <v>0</v>
      </c>
      <c r="K1493" s="8" t="s">
        <v>864</v>
      </c>
      <c r="L1493" s="43" t="s">
        <v>540</v>
      </c>
      <c r="P1493" s="41">
        <v>22</v>
      </c>
      <c r="Q1493" s="41">
        <v>5</v>
      </c>
      <c r="R1493" s="41" t="s">
        <v>1199</v>
      </c>
      <c r="S1493" t="s">
        <v>3324</v>
      </c>
      <c r="AH1493" t="s">
        <v>359</v>
      </c>
    </row>
    <row r="1494" spans="1:34" ht="15.75">
      <c r="A1494" s="29">
        <f t="shared" si="23"/>
        <v>846</v>
      </c>
      <c r="B1494" s="2">
        <v>643</v>
      </c>
      <c r="C1494" s="2">
        <v>9</v>
      </c>
      <c r="D1494" s="2">
        <v>1817</v>
      </c>
      <c r="E1494">
        <v>6245</v>
      </c>
      <c r="G1494" s="1"/>
      <c r="H1494" s="1" t="s">
        <v>1540</v>
      </c>
      <c r="I1494" s="2">
        <v>846</v>
      </c>
      <c r="J1494" s="2">
        <v>0</v>
      </c>
      <c r="K1494" s="8" t="s">
        <v>864</v>
      </c>
      <c r="L1494" s="43" t="s">
        <v>540</v>
      </c>
      <c r="P1494" s="41">
        <v>13</v>
      </c>
      <c r="Q1494" s="41">
        <v>4</v>
      </c>
      <c r="R1494" s="41">
        <v>46</v>
      </c>
      <c r="S1494" t="s">
        <v>3321</v>
      </c>
      <c r="AH1494" t="s">
        <v>359</v>
      </c>
    </row>
    <row r="1495" spans="1:34" ht="15.75">
      <c r="A1495" s="29">
        <f t="shared" si="23"/>
        <v>750</v>
      </c>
      <c r="B1495" s="2">
        <v>643</v>
      </c>
      <c r="C1495" s="2">
        <v>9</v>
      </c>
      <c r="D1495" s="2">
        <v>1817</v>
      </c>
      <c r="E1495">
        <v>6246</v>
      </c>
      <c r="G1495" s="1"/>
      <c r="H1495" s="1" t="s">
        <v>1549</v>
      </c>
      <c r="I1495" s="2">
        <v>750</v>
      </c>
      <c r="J1495" s="2">
        <v>0</v>
      </c>
      <c r="K1495" s="8" t="s">
        <v>864</v>
      </c>
      <c r="L1495" s="43" t="s">
        <v>3642</v>
      </c>
      <c r="P1495" s="41">
        <v>8</v>
      </c>
      <c r="Q1495" s="41">
        <v>4</v>
      </c>
      <c r="R1495" s="41">
        <v>54</v>
      </c>
      <c r="S1495" t="s">
        <v>3321</v>
      </c>
      <c r="AH1495" t="s">
        <v>359</v>
      </c>
    </row>
    <row r="1496" spans="1:34" ht="15.75">
      <c r="A1496" s="29">
        <f t="shared" si="23"/>
        <v>1100</v>
      </c>
      <c r="B1496" s="2">
        <v>643</v>
      </c>
      <c r="C1496" s="2">
        <v>9</v>
      </c>
      <c r="D1496" s="2">
        <v>1817</v>
      </c>
      <c r="E1496">
        <v>6247</v>
      </c>
      <c r="G1496" s="1"/>
      <c r="H1496" t="s">
        <v>850</v>
      </c>
      <c r="I1496" s="2">
        <v>1100</v>
      </c>
      <c r="J1496" s="2">
        <v>0</v>
      </c>
      <c r="K1496" s="8" t="s">
        <v>864</v>
      </c>
      <c r="L1496" s="43" t="s">
        <v>541</v>
      </c>
      <c r="P1496" s="41">
        <v>12</v>
      </c>
      <c r="Q1496" s="41">
        <v>8</v>
      </c>
      <c r="R1496" s="41">
        <v>45</v>
      </c>
      <c r="S1496" t="s">
        <v>3321</v>
      </c>
      <c r="AH1496" t="s">
        <v>359</v>
      </c>
    </row>
    <row r="1497" spans="1:34" ht="15.75">
      <c r="A1497" s="29">
        <f t="shared" si="23"/>
        <v>3380</v>
      </c>
      <c r="B1497" s="2">
        <v>644</v>
      </c>
      <c r="C1497" s="2">
        <v>9</v>
      </c>
      <c r="D1497" s="2">
        <v>1817</v>
      </c>
      <c r="E1497">
        <v>6288</v>
      </c>
      <c r="G1497" s="1"/>
      <c r="H1497" s="1" t="s">
        <v>1540</v>
      </c>
      <c r="I1497" s="2">
        <v>3380</v>
      </c>
      <c r="J1497" s="2">
        <v>0</v>
      </c>
      <c r="K1497" s="8" t="s">
        <v>864</v>
      </c>
      <c r="L1497" s="43" t="s">
        <v>542</v>
      </c>
      <c r="P1497" s="41">
        <v>16</v>
      </c>
      <c r="Q1497" s="41">
        <v>10</v>
      </c>
      <c r="R1497" s="41" t="s">
        <v>1547</v>
      </c>
      <c r="S1497" t="s">
        <v>1547</v>
      </c>
      <c r="T1497" t="s">
        <v>543</v>
      </c>
      <c r="AH1497" t="s">
        <v>359</v>
      </c>
    </row>
    <row r="1498" spans="1:34" ht="15.75">
      <c r="A1498" s="29">
        <f t="shared" si="23"/>
        <v>17</v>
      </c>
      <c r="B1498" s="2">
        <v>644</v>
      </c>
      <c r="C1498" s="2">
        <v>9</v>
      </c>
      <c r="D1498" s="2">
        <v>1817</v>
      </c>
      <c r="E1498">
        <v>6289</v>
      </c>
      <c r="G1498" s="1"/>
      <c r="H1498" s="1" t="s">
        <v>1541</v>
      </c>
      <c r="I1498" s="2">
        <v>17</v>
      </c>
      <c r="J1498" s="2">
        <v>0</v>
      </c>
      <c r="K1498" s="8" t="s">
        <v>864</v>
      </c>
      <c r="L1498" s="43" t="s">
        <v>2442</v>
      </c>
      <c r="P1498" s="41">
        <v>17</v>
      </c>
      <c r="Q1498" s="41">
        <v>7</v>
      </c>
      <c r="R1498" s="41">
        <v>46</v>
      </c>
      <c r="S1498" t="s">
        <v>1547</v>
      </c>
      <c r="T1498" t="s">
        <v>543</v>
      </c>
      <c r="AH1498" t="s">
        <v>359</v>
      </c>
    </row>
    <row r="1499" spans="1:34" ht="15.75">
      <c r="A1499" s="29">
        <f t="shared" si="23"/>
        <v>31405</v>
      </c>
      <c r="B1499" s="8">
        <v>644</v>
      </c>
      <c r="C1499" s="2">
        <v>9</v>
      </c>
      <c r="D1499" s="2">
        <v>1817</v>
      </c>
      <c r="E1499">
        <v>6290</v>
      </c>
      <c r="F1499" s="9"/>
      <c r="G1499" s="7"/>
      <c r="H1499" s="7" t="s">
        <v>1540</v>
      </c>
      <c r="I1499" s="8">
        <v>31405</v>
      </c>
      <c r="J1499" s="8">
        <v>0</v>
      </c>
      <c r="K1499" s="8" t="s">
        <v>864</v>
      </c>
      <c r="L1499" s="43" t="s">
        <v>544</v>
      </c>
      <c r="M1499" s="41" t="s">
        <v>546</v>
      </c>
      <c r="N1499" s="41" t="s">
        <v>547</v>
      </c>
      <c r="O1499" s="41" t="s">
        <v>548</v>
      </c>
      <c r="P1499" s="41">
        <v>27</v>
      </c>
      <c r="Q1499" s="41">
        <v>3</v>
      </c>
      <c r="R1499" s="41">
        <v>43</v>
      </c>
      <c r="S1499" t="s">
        <v>545</v>
      </c>
      <c r="T1499" t="s">
        <v>549</v>
      </c>
      <c r="V1499" t="s">
        <v>550</v>
      </c>
      <c r="AH1499" t="s">
        <v>359</v>
      </c>
    </row>
    <row r="1500" spans="1:34" ht="15.75">
      <c r="A1500" s="29">
        <f t="shared" si="23"/>
        <v>635</v>
      </c>
      <c r="B1500" s="8">
        <v>644</v>
      </c>
      <c r="C1500" s="2">
        <v>9</v>
      </c>
      <c r="D1500" s="2">
        <v>1817</v>
      </c>
      <c r="E1500">
        <v>6291</v>
      </c>
      <c r="F1500" s="9"/>
      <c r="G1500" s="7"/>
      <c r="H1500" s="7" t="s">
        <v>1540</v>
      </c>
      <c r="I1500" s="8">
        <v>635</v>
      </c>
      <c r="J1500" s="8">
        <v>0</v>
      </c>
      <c r="K1500" s="8" t="s">
        <v>864</v>
      </c>
      <c r="L1500" s="43" t="s">
        <v>5728</v>
      </c>
      <c r="P1500" s="41">
        <v>23</v>
      </c>
      <c r="Q1500" s="41">
        <v>5</v>
      </c>
      <c r="R1500" s="41">
        <v>24</v>
      </c>
      <c r="S1500" t="s">
        <v>3324</v>
      </c>
      <c r="AH1500" t="s">
        <v>359</v>
      </c>
    </row>
    <row r="1501" spans="1:34" ht="15.75">
      <c r="A1501" s="29">
        <f t="shared" si="23"/>
        <v>780</v>
      </c>
      <c r="B1501" s="8">
        <v>644</v>
      </c>
      <c r="C1501" s="2">
        <v>9</v>
      </c>
      <c r="D1501" s="2">
        <v>1817</v>
      </c>
      <c r="E1501">
        <v>6292</v>
      </c>
      <c r="F1501" s="9"/>
      <c r="G1501" s="7"/>
      <c r="H1501" s="7" t="s">
        <v>1540</v>
      </c>
      <c r="I1501" s="8">
        <v>780</v>
      </c>
      <c r="J1501" s="8">
        <v>0</v>
      </c>
      <c r="K1501" s="8" t="s">
        <v>864</v>
      </c>
      <c r="L1501" s="43" t="s">
        <v>5728</v>
      </c>
      <c r="P1501" s="41">
        <v>11</v>
      </c>
      <c r="Q1501" s="41">
        <v>6</v>
      </c>
      <c r="R1501" s="41">
        <v>33</v>
      </c>
      <c r="S1501" t="s">
        <v>3343</v>
      </c>
      <c r="AH1501" t="s">
        <v>359</v>
      </c>
    </row>
    <row r="1502" spans="1:34" ht="15.75">
      <c r="A1502" s="29">
        <f t="shared" si="23"/>
        <v>3272</v>
      </c>
      <c r="B1502" s="8">
        <v>644</v>
      </c>
      <c r="C1502" s="2">
        <v>9</v>
      </c>
      <c r="D1502" s="2">
        <v>1817</v>
      </c>
      <c r="E1502">
        <v>6293</v>
      </c>
      <c r="F1502" s="9"/>
      <c r="G1502" s="7"/>
      <c r="H1502" s="7" t="s">
        <v>1540</v>
      </c>
      <c r="I1502" s="8">
        <v>3272</v>
      </c>
      <c r="J1502" s="8">
        <v>0</v>
      </c>
      <c r="K1502" s="8" t="s">
        <v>864</v>
      </c>
      <c r="L1502" s="43" t="s">
        <v>5728</v>
      </c>
      <c r="P1502" s="41">
        <v>8</v>
      </c>
      <c r="Q1502" s="41">
        <v>4</v>
      </c>
      <c r="R1502" s="41">
        <v>55</v>
      </c>
      <c r="S1502" t="s">
        <v>3352</v>
      </c>
      <c r="AH1502" t="s">
        <v>359</v>
      </c>
    </row>
    <row r="1503" spans="1:34" ht="15.75">
      <c r="A1503" s="29">
        <f t="shared" si="23"/>
        <v>1166</v>
      </c>
      <c r="B1503" s="8">
        <v>644</v>
      </c>
      <c r="C1503" s="2">
        <v>9</v>
      </c>
      <c r="D1503" s="2">
        <v>1817</v>
      </c>
      <c r="E1503">
        <v>6294</v>
      </c>
      <c r="F1503" s="9"/>
      <c r="G1503" s="7"/>
      <c r="H1503" s="7" t="s">
        <v>1540</v>
      </c>
      <c r="I1503" s="8">
        <v>1166</v>
      </c>
      <c r="J1503" s="8">
        <v>0</v>
      </c>
      <c r="K1503" s="8" t="s">
        <v>864</v>
      </c>
      <c r="L1503" s="43" t="s">
        <v>3671</v>
      </c>
      <c r="P1503" s="41">
        <v>23</v>
      </c>
      <c r="Q1503" s="41">
        <v>10</v>
      </c>
      <c r="R1503" s="41" t="s">
        <v>1199</v>
      </c>
      <c r="S1503" t="s">
        <v>3321</v>
      </c>
      <c r="AH1503" t="s">
        <v>359</v>
      </c>
    </row>
    <row r="1504" spans="1:34" ht="15.75">
      <c r="A1504" s="29">
        <f t="shared" si="23"/>
        <v>11318</v>
      </c>
      <c r="B1504" s="8">
        <v>644</v>
      </c>
      <c r="C1504" s="2">
        <v>9</v>
      </c>
      <c r="D1504" s="2">
        <v>1817</v>
      </c>
      <c r="E1504">
        <v>6295</v>
      </c>
      <c r="F1504" s="9"/>
      <c r="G1504" s="7"/>
      <c r="H1504" s="7" t="s">
        <v>1541</v>
      </c>
      <c r="I1504" s="8">
        <v>11318</v>
      </c>
      <c r="J1504" s="8">
        <v>0</v>
      </c>
      <c r="K1504" s="8" t="s">
        <v>864</v>
      </c>
      <c r="L1504" s="43" t="s">
        <v>551</v>
      </c>
      <c r="P1504" s="41">
        <v>21</v>
      </c>
      <c r="Q1504" s="41">
        <v>2</v>
      </c>
      <c r="R1504" s="41">
        <v>58</v>
      </c>
      <c r="S1504" t="s">
        <v>3329</v>
      </c>
      <c r="AH1504" t="s">
        <v>359</v>
      </c>
    </row>
    <row r="1505" spans="1:34" ht="15.75">
      <c r="A1505" s="29">
        <f t="shared" si="23"/>
        <v>3304</v>
      </c>
      <c r="B1505" s="8">
        <v>644</v>
      </c>
      <c r="C1505" s="2">
        <v>9</v>
      </c>
      <c r="D1505" s="2">
        <v>1817</v>
      </c>
      <c r="E1505">
        <v>6296</v>
      </c>
      <c r="F1505" s="9"/>
      <c r="G1505" s="7"/>
      <c r="H1505" s="7" t="s">
        <v>1540</v>
      </c>
      <c r="I1505" s="8">
        <f>203+3101</f>
        <v>3304</v>
      </c>
      <c r="J1505" s="8">
        <v>0</v>
      </c>
      <c r="K1505" s="8" t="s">
        <v>864</v>
      </c>
      <c r="L1505" s="43" t="s">
        <v>3352</v>
      </c>
      <c r="P1505" s="41">
        <v>1</v>
      </c>
      <c r="Q1505" s="41">
        <v>8</v>
      </c>
      <c r="R1505" s="41" t="s">
        <v>1547</v>
      </c>
      <c r="S1505" t="s">
        <v>1547</v>
      </c>
      <c r="T1505" t="s">
        <v>552</v>
      </c>
      <c r="AH1505" t="s">
        <v>359</v>
      </c>
    </row>
    <row r="1506" spans="1:34" ht="15.75">
      <c r="A1506" s="29">
        <f t="shared" si="23"/>
        <v>76</v>
      </c>
      <c r="B1506" s="8">
        <v>644</v>
      </c>
      <c r="C1506" s="2">
        <v>9</v>
      </c>
      <c r="D1506" s="2">
        <v>1817</v>
      </c>
      <c r="E1506">
        <v>6298</v>
      </c>
      <c r="F1506" s="9"/>
      <c r="G1506" s="7"/>
      <c r="H1506" s="7" t="s">
        <v>1540</v>
      </c>
      <c r="I1506" s="8">
        <v>76</v>
      </c>
      <c r="J1506" s="8">
        <v>0</v>
      </c>
      <c r="K1506" s="8" t="s">
        <v>864</v>
      </c>
      <c r="L1506" s="43" t="s">
        <v>5731</v>
      </c>
      <c r="P1506" s="41">
        <v>31</v>
      </c>
      <c r="Q1506" s="41">
        <v>5</v>
      </c>
      <c r="R1506" s="41">
        <v>41</v>
      </c>
      <c r="S1506" t="s">
        <v>3321</v>
      </c>
      <c r="AH1506" t="s">
        <v>359</v>
      </c>
    </row>
    <row r="1507" spans="1:34" ht="15.75">
      <c r="A1507" s="29">
        <f t="shared" si="23"/>
        <v>196</v>
      </c>
      <c r="B1507" s="8">
        <v>644</v>
      </c>
      <c r="C1507" s="2">
        <v>9</v>
      </c>
      <c r="D1507" s="2">
        <v>1817</v>
      </c>
      <c r="E1507">
        <v>6299</v>
      </c>
      <c r="F1507" s="9"/>
      <c r="G1507" s="7"/>
      <c r="H1507" s="7" t="s">
        <v>1541</v>
      </c>
      <c r="I1507" s="8">
        <v>196</v>
      </c>
      <c r="J1507" s="8">
        <v>0</v>
      </c>
      <c r="K1507" s="8" t="s">
        <v>864</v>
      </c>
      <c r="L1507" s="43" t="s">
        <v>558</v>
      </c>
      <c r="P1507" s="41">
        <v>4</v>
      </c>
      <c r="Q1507" s="41">
        <v>6</v>
      </c>
      <c r="R1507" s="41">
        <v>78</v>
      </c>
      <c r="S1507" t="s">
        <v>3321</v>
      </c>
      <c r="AH1507" t="s">
        <v>359</v>
      </c>
    </row>
    <row r="1508" spans="1:34" ht="15.75">
      <c r="A1508" s="29">
        <f t="shared" si="23"/>
        <v>800</v>
      </c>
      <c r="B1508" s="8">
        <v>644</v>
      </c>
      <c r="C1508" s="2">
        <v>9</v>
      </c>
      <c r="D1508" s="2">
        <v>1817</v>
      </c>
      <c r="E1508">
        <v>6300</v>
      </c>
      <c r="F1508" s="9"/>
      <c r="G1508" s="7"/>
      <c r="H1508" s="7" t="s">
        <v>1541</v>
      </c>
      <c r="I1508" s="8">
        <v>800</v>
      </c>
      <c r="J1508" s="8">
        <v>0</v>
      </c>
      <c r="K1508" s="8" t="s">
        <v>864</v>
      </c>
      <c r="L1508" s="43" t="s">
        <v>5732</v>
      </c>
      <c r="P1508" s="41">
        <v>5</v>
      </c>
      <c r="Q1508" s="41">
        <v>11</v>
      </c>
      <c r="R1508" s="41">
        <v>50</v>
      </c>
      <c r="S1508" t="s">
        <v>3321</v>
      </c>
      <c r="AH1508" t="s">
        <v>359</v>
      </c>
    </row>
    <row r="1509" spans="1:34" ht="15.75">
      <c r="A1509" s="29">
        <f t="shared" si="23"/>
        <v>7056</v>
      </c>
      <c r="B1509" s="8">
        <v>644</v>
      </c>
      <c r="C1509" s="2">
        <v>9</v>
      </c>
      <c r="D1509" s="2">
        <v>1817</v>
      </c>
      <c r="E1509">
        <v>6302</v>
      </c>
      <c r="F1509" s="9"/>
      <c r="G1509" s="7"/>
      <c r="H1509" s="7" t="s">
        <v>850</v>
      </c>
      <c r="I1509" s="8">
        <v>7056</v>
      </c>
      <c r="J1509" s="8">
        <v>0</v>
      </c>
      <c r="K1509" s="8" t="s">
        <v>864</v>
      </c>
      <c r="L1509" s="43" t="s">
        <v>2441</v>
      </c>
      <c r="P1509" s="41">
        <v>9</v>
      </c>
      <c r="Q1509" s="41">
        <v>3</v>
      </c>
      <c r="R1509" s="41">
        <v>70</v>
      </c>
      <c r="S1509" t="s">
        <v>3321</v>
      </c>
      <c r="AH1509" t="s">
        <v>359</v>
      </c>
    </row>
    <row r="1510" spans="1:34" ht="15.75">
      <c r="A1510" s="29">
        <f t="shared" si="23"/>
        <v>1800</v>
      </c>
      <c r="B1510" s="8">
        <v>644</v>
      </c>
      <c r="C1510" s="2">
        <v>9</v>
      </c>
      <c r="D1510" s="2">
        <v>1817</v>
      </c>
      <c r="E1510">
        <v>6303</v>
      </c>
      <c r="F1510" s="9"/>
      <c r="G1510" s="7"/>
      <c r="H1510" s="7" t="s">
        <v>850</v>
      </c>
      <c r="I1510" s="8">
        <v>0</v>
      </c>
      <c r="J1510" s="8">
        <v>90</v>
      </c>
      <c r="K1510" s="8" t="s">
        <v>864</v>
      </c>
      <c r="L1510" s="43" t="s">
        <v>5730</v>
      </c>
      <c r="P1510" s="41">
        <v>27</v>
      </c>
      <c r="Q1510" s="41">
        <v>11</v>
      </c>
      <c r="R1510" s="41" t="s">
        <v>1547</v>
      </c>
      <c r="S1510" t="s">
        <v>1547</v>
      </c>
      <c r="X1510">
        <v>1</v>
      </c>
      <c r="Y1510" t="s">
        <v>561</v>
      </c>
      <c r="AH1510" t="s">
        <v>359</v>
      </c>
    </row>
    <row r="1511" spans="1:34" ht="15.75">
      <c r="A1511" s="29">
        <f t="shared" si="23"/>
        <v>12000</v>
      </c>
      <c r="B1511" s="8">
        <v>645</v>
      </c>
      <c r="C1511" s="2">
        <v>9</v>
      </c>
      <c r="D1511" s="2">
        <v>1817</v>
      </c>
      <c r="E1511">
        <v>6330</v>
      </c>
      <c r="F1511" s="9"/>
      <c r="G1511" s="7"/>
      <c r="H1511" s="7" t="s">
        <v>1540</v>
      </c>
      <c r="I1511" s="8">
        <v>0</v>
      </c>
      <c r="J1511" s="8">
        <v>600</v>
      </c>
      <c r="K1511" s="8" t="s">
        <v>864</v>
      </c>
      <c r="L1511" s="43" t="s">
        <v>562</v>
      </c>
      <c r="P1511" s="41">
        <v>9</v>
      </c>
      <c r="Q1511" s="41">
        <v>9</v>
      </c>
      <c r="R1511" s="41">
        <v>65</v>
      </c>
      <c r="S1511" t="s">
        <v>3321</v>
      </c>
      <c r="X1511">
        <v>1</v>
      </c>
      <c r="Y1511" t="s">
        <v>563</v>
      </c>
      <c r="AH1511" t="s">
        <v>359</v>
      </c>
    </row>
    <row r="1512" spans="1:34" ht="15.75">
      <c r="A1512" s="29">
        <f t="shared" si="23"/>
        <v>1851</v>
      </c>
      <c r="B1512" s="8">
        <v>645</v>
      </c>
      <c r="C1512" s="2">
        <v>9</v>
      </c>
      <c r="D1512" s="2">
        <v>1817</v>
      </c>
      <c r="E1512">
        <v>6331</v>
      </c>
      <c r="F1512" s="9"/>
      <c r="G1512" s="7"/>
      <c r="H1512" s="7" t="s">
        <v>1541</v>
      </c>
      <c r="I1512" s="8">
        <v>1851</v>
      </c>
      <c r="J1512" s="8">
        <v>0</v>
      </c>
      <c r="K1512" s="8" t="s">
        <v>864</v>
      </c>
      <c r="L1512" s="43" t="s">
        <v>564</v>
      </c>
      <c r="P1512" s="41">
        <v>29</v>
      </c>
      <c r="Q1512" s="41">
        <v>5</v>
      </c>
      <c r="R1512" s="41">
        <v>51</v>
      </c>
      <c r="S1512" t="s">
        <v>3321</v>
      </c>
      <c r="AH1512" t="s">
        <v>359</v>
      </c>
    </row>
    <row r="1513" spans="1:34" ht="15.75">
      <c r="A1513" s="29">
        <f t="shared" si="23"/>
        <v>68</v>
      </c>
      <c r="B1513" s="8">
        <v>645</v>
      </c>
      <c r="C1513" s="2">
        <v>9</v>
      </c>
      <c r="D1513" s="2">
        <v>1817</v>
      </c>
      <c r="E1513">
        <v>6332</v>
      </c>
      <c r="F1513" s="9"/>
      <c r="G1513" s="7"/>
      <c r="H1513" s="7" t="s">
        <v>1541</v>
      </c>
      <c r="I1513" s="8">
        <v>68</v>
      </c>
      <c r="J1513" s="8">
        <v>0</v>
      </c>
      <c r="K1513" s="8" t="s">
        <v>864</v>
      </c>
      <c r="L1513" s="43" t="s">
        <v>3645</v>
      </c>
      <c r="P1513" s="41">
        <v>29</v>
      </c>
      <c r="Q1513" s="41">
        <v>4</v>
      </c>
      <c r="R1513" s="41">
        <v>64</v>
      </c>
      <c r="S1513" t="s">
        <v>3329</v>
      </c>
      <c r="AH1513" t="s">
        <v>359</v>
      </c>
    </row>
    <row r="1514" spans="1:34" ht="15.75">
      <c r="A1514" s="29">
        <f t="shared" si="23"/>
        <v>28505</v>
      </c>
      <c r="B1514" s="8">
        <v>645</v>
      </c>
      <c r="C1514" s="2">
        <v>9</v>
      </c>
      <c r="D1514" s="2">
        <v>1817</v>
      </c>
      <c r="E1514">
        <v>6333</v>
      </c>
      <c r="F1514" s="9"/>
      <c r="G1514" s="7"/>
      <c r="H1514" s="7" t="s">
        <v>1541</v>
      </c>
      <c r="I1514" s="8">
        <f>1000+7645+1200+18660</f>
        <v>28505</v>
      </c>
      <c r="J1514" s="8">
        <v>0</v>
      </c>
      <c r="K1514" s="8" t="s">
        <v>864</v>
      </c>
      <c r="L1514" s="43" t="s">
        <v>565</v>
      </c>
      <c r="M1514" s="41" t="s">
        <v>567</v>
      </c>
      <c r="O1514" s="41" t="s">
        <v>568</v>
      </c>
      <c r="P1514" s="41">
        <v>18</v>
      </c>
      <c r="Q1514" s="41">
        <v>11</v>
      </c>
      <c r="R1514" s="41">
        <v>48</v>
      </c>
      <c r="S1514" t="s">
        <v>566</v>
      </c>
      <c r="T1514" t="s">
        <v>3755</v>
      </c>
      <c r="V1514" t="s">
        <v>569</v>
      </c>
      <c r="AA1514" t="s">
        <v>570</v>
      </c>
      <c r="AH1514" t="s">
        <v>359</v>
      </c>
    </row>
    <row r="1515" spans="1:34" ht="15.75">
      <c r="A1515" s="29">
        <f t="shared" si="23"/>
        <v>12722</v>
      </c>
      <c r="B1515" s="2">
        <v>645</v>
      </c>
      <c r="C1515" s="2">
        <v>9</v>
      </c>
      <c r="D1515" s="2">
        <v>1817</v>
      </c>
      <c r="E1515">
        <v>6335</v>
      </c>
      <c r="G1515" s="1"/>
      <c r="H1515" s="1" t="s">
        <v>1541</v>
      </c>
      <c r="I1515" s="2">
        <f>9222+3500</f>
        <v>12722</v>
      </c>
      <c r="J1515" s="2">
        <v>0</v>
      </c>
      <c r="K1515" s="8" t="s">
        <v>864</v>
      </c>
      <c r="L1515" s="43" t="s">
        <v>3670</v>
      </c>
      <c r="P1515" s="41">
        <v>25</v>
      </c>
      <c r="Q1515" s="41">
        <v>10</v>
      </c>
      <c r="R1515" s="41">
        <v>29</v>
      </c>
      <c r="S1515" t="s">
        <v>3321</v>
      </c>
      <c r="AH1515" t="s">
        <v>359</v>
      </c>
    </row>
    <row r="1516" spans="1:34" ht="15.75">
      <c r="A1516" s="29">
        <f t="shared" si="23"/>
        <v>85</v>
      </c>
      <c r="B1516" s="2">
        <v>645</v>
      </c>
      <c r="C1516" s="2">
        <v>9</v>
      </c>
      <c r="D1516" s="2">
        <v>1817</v>
      </c>
      <c r="E1516">
        <v>6336</v>
      </c>
      <c r="G1516" s="1"/>
      <c r="H1516" s="1" t="s">
        <v>1541</v>
      </c>
      <c r="I1516" s="2">
        <v>85</v>
      </c>
      <c r="J1516" s="2">
        <v>0</v>
      </c>
      <c r="K1516" s="8" t="s">
        <v>864</v>
      </c>
      <c r="L1516" s="43" t="s">
        <v>3676</v>
      </c>
      <c r="P1516" s="41">
        <v>22</v>
      </c>
      <c r="Q1516" s="41">
        <v>1</v>
      </c>
      <c r="R1516" s="41">
        <v>80</v>
      </c>
      <c r="S1516" t="s">
        <v>3329</v>
      </c>
      <c r="AH1516" t="s">
        <v>359</v>
      </c>
    </row>
    <row r="1517" spans="1:34" ht="15.75">
      <c r="A1517" s="29">
        <f t="shared" si="23"/>
        <v>1843</v>
      </c>
      <c r="B1517" s="2">
        <v>645</v>
      </c>
      <c r="C1517" s="2">
        <v>9</v>
      </c>
      <c r="D1517" s="2">
        <v>1817</v>
      </c>
      <c r="E1517">
        <v>6337</v>
      </c>
      <c r="G1517" s="1"/>
      <c r="H1517" s="1" t="s">
        <v>1540</v>
      </c>
      <c r="I1517" s="2">
        <v>1843</v>
      </c>
      <c r="J1517" s="2">
        <v>0</v>
      </c>
      <c r="K1517" s="8" t="s">
        <v>864</v>
      </c>
      <c r="L1517" s="43" t="s">
        <v>5737</v>
      </c>
      <c r="P1517" s="41">
        <v>14</v>
      </c>
      <c r="Q1517" s="41">
        <v>2</v>
      </c>
      <c r="R1517" s="41">
        <v>22</v>
      </c>
      <c r="S1517" t="s">
        <v>3321</v>
      </c>
      <c r="AH1517" t="s">
        <v>359</v>
      </c>
    </row>
    <row r="1518" spans="1:34" ht="15.75">
      <c r="A1518" s="29">
        <f t="shared" si="23"/>
        <v>614</v>
      </c>
      <c r="B1518" s="2">
        <v>645</v>
      </c>
      <c r="C1518" s="2">
        <v>9</v>
      </c>
      <c r="D1518" s="2">
        <v>1817</v>
      </c>
      <c r="E1518">
        <v>6338</v>
      </c>
      <c r="G1518" s="1"/>
      <c r="H1518" s="1" t="s">
        <v>1541</v>
      </c>
      <c r="I1518" s="2">
        <v>614</v>
      </c>
      <c r="J1518" s="2">
        <v>0</v>
      </c>
      <c r="K1518" s="8" t="s">
        <v>864</v>
      </c>
      <c r="L1518" s="43" t="s">
        <v>5737</v>
      </c>
      <c r="P1518" s="41">
        <v>25</v>
      </c>
      <c r="Q1518" s="41">
        <v>2</v>
      </c>
      <c r="R1518" s="41" t="s">
        <v>3347</v>
      </c>
      <c r="S1518" t="s">
        <v>3343</v>
      </c>
      <c r="AH1518" t="s">
        <v>359</v>
      </c>
    </row>
    <row r="1519" spans="1:34" ht="15.75">
      <c r="A1519" s="29">
        <f t="shared" si="23"/>
        <v>40</v>
      </c>
      <c r="B1519" s="2">
        <v>645</v>
      </c>
      <c r="C1519" s="2">
        <v>9</v>
      </c>
      <c r="D1519" s="2">
        <v>1817</v>
      </c>
      <c r="E1519">
        <v>6339</v>
      </c>
      <c r="G1519" s="1"/>
      <c r="H1519" s="1" t="s">
        <v>1540</v>
      </c>
      <c r="I1519" s="2">
        <v>40</v>
      </c>
      <c r="J1519" s="2">
        <v>0</v>
      </c>
      <c r="K1519" s="8" t="s">
        <v>864</v>
      </c>
      <c r="L1519" s="43" t="s">
        <v>5737</v>
      </c>
      <c r="P1519" s="41">
        <v>2</v>
      </c>
      <c r="Q1519" s="41">
        <v>8</v>
      </c>
      <c r="R1519" s="41">
        <v>54</v>
      </c>
      <c r="S1519" t="s">
        <v>3321</v>
      </c>
      <c r="AH1519" t="s">
        <v>359</v>
      </c>
    </row>
    <row r="1520" spans="1:34" ht="15.75">
      <c r="A1520" s="29">
        <f t="shared" si="23"/>
        <v>62</v>
      </c>
      <c r="B1520" s="2">
        <v>645</v>
      </c>
      <c r="C1520" s="2">
        <v>9</v>
      </c>
      <c r="D1520" s="2">
        <v>1817</v>
      </c>
      <c r="E1520">
        <v>6340</v>
      </c>
      <c r="G1520" s="1"/>
      <c r="H1520" s="1" t="s">
        <v>1540</v>
      </c>
      <c r="I1520" s="2">
        <v>62</v>
      </c>
      <c r="J1520" s="2">
        <v>0</v>
      </c>
      <c r="K1520" s="8" t="s">
        <v>864</v>
      </c>
      <c r="L1520" s="43" t="s">
        <v>5737</v>
      </c>
      <c r="P1520" s="41">
        <v>23</v>
      </c>
      <c r="Q1520" s="41">
        <v>11</v>
      </c>
      <c r="R1520" s="41">
        <v>34</v>
      </c>
      <c r="S1520" t="s">
        <v>3321</v>
      </c>
      <c r="AH1520" t="s">
        <v>359</v>
      </c>
    </row>
    <row r="1521" spans="1:34" ht="15.75">
      <c r="A1521" s="29">
        <f t="shared" si="23"/>
        <v>271</v>
      </c>
      <c r="B1521" s="2">
        <v>645</v>
      </c>
      <c r="C1521" s="2">
        <v>9</v>
      </c>
      <c r="D1521" s="2">
        <v>1817</v>
      </c>
      <c r="E1521">
        <v>6341</v>
      </c>
      <c r="G1521" s="1"/>
      <c r="H1521" s="1" t="s">
        <v>1540</v>
      </c>
      <c r="I1521" s="2">
        <v>271</v>
      </c>
      <c r="J1521" s="2">
        <v>0</v>
      </c>
      <c r="K1521" s="8" t="s">
        <v>864</v>
      </c>
      <c r="L1521" s="43" t="s">
        <v>5738</v>
      </c>
      <c r="P1521" s="41">
        <v>26</v>
      </c>
      <c r="Q1521" s="41">
        <v>2</v>
      </c>
      <c r="R1521" s="41">
        <v>55</v>
      </c>
      <c r="S1521" t="s">
        <v>3324</v>
      </c>
      <c r="AH1521" t="s">
        <v>359</v>
      </c>
    </row>
    <row r="1522" spans="1:34" ht="15.75">
      <c r="A1522" s="29">
        <f t="shared" si="23"/>
        <v>209</v>
      </c>
      <c r="B1522" s="2">
        <v>645</v>
      </c>
      <c r="C1522" s="2">
        <v>9</v>
      </c>
      <c r="D1522" s="2">
        <v>1817</v>
      </c>
      <c r="E1522">
        <v>6342</v>
      </c>
      <c r="G1522" s="1"/>
      <c r="H1522" s="1" t="s">
        <v>1549</v>
      </c>
      <c r="I1522" s="2">
        <v>209</v>
      </c>
      <c r="J1522" s="2">
        <v>0</v>
      </c>
      <c r="K1522" s="8" t="s">
        <v>864</v>
      </c>
      <c r="L1522" s="43" t="s">
        <v>577</v>
      </c>
      <c r="P1522" s="41">
        <v>10</v>
      </c>
      <c r="Q1522" s="41">
        <v>3</v>
      </c>
      <c r="R1522" s="41">
        <v>40</v>
      </c>
      <c r="S1522" t="s">
        <v>3321</v>
      </c>
      <c r="AH1522" t="s">
        <v>359</v>
      </c>
    </row>
    <row r="1523" spans="1:34" ht="15.75">
      <c r="A1523" s="29">
        <f t="shared" si="23"/>
        <v>266</v>
      </c>
      <c r="B1523" s="2">
        <v>646</v>
      </c>
      <c r="C1523" s="2">
        <v>9</v>
      </c>
      <c r="D1523" s="2">
        <v>1817</v>
      </c>
      <c r="E1523">
        <v>6384</v>
      </c>
      <c r="G1523" s="1"/>
      <c r="H1523" s="1" t="s">
        <v>1541</v>
      </c>
      <c r="I1523" s="2">
        <f>45+221</f>
        <v>266</v>
      </c>
      <c r="J1523" s="2">
        <v>0</v>
      </c>
      <c r="K1523" s="8" t="s">
        <v>864</v>
      </c>
      <c r="L1523" s="43" t="s">
        <v>3648</v>
      </c>
      <c r="P1523" s="41">
        <v>13</v>
      </c>
      <c r="Q1523" s="41">
        <v>1</v>
      </c>
      <c r="R1523" s="41">
        <v>37</v>
      </c>
      <c r="S1523" t="s">
        <v>3321</v>
      </c>
      <c r="AH1523" t="s">
        <v>359</v>
      </c>
    </row>
    <row r="1524" spans="1:34" ht="15.75">
      <c r="A1524" s="29">
        <f t="shared" si="23"/>
        <v>54</v>
      </c>
      <c r="B1524" s="2">
        <v>646</v>
      </c>
      <c r="C1524" s="2">
        <v>9</v>
      </c>
      <c r="D1524" s="2">
        <v>1817</v>
      </c>
      <c r="E1524">
        <v>6385</v>
      </c>
      <c r="G1524" s="1"/>
      <c r="H1524" s="1" t="s">
        <v>1541</v>
      </c>
      <c r="I1524" s="2">
        <v>54</v>
      </c>
      <c r="J1524" s="2">
        <v>0</v>
      </c>
      <c r="K1524" s="8" t="s">
        <v>864</v>
      </c>
      <c r="L1524" s="43" t="s">
        <v>3648</v>
      </c>
      <c r="P1524" s="41">
        <v>11</v>
      </c>
      <c r="Q1524" s="41">
        <v>12</v>
      </c>
      <c r="R1524" s="41">
        <v>48</v>
      </c>
      <c r="S1524" t="s">
        <v>3321</v>
      </c>
      <c r="AH1524" t="s">
        <v>359</v>
      </c>
    </row>
    <row r="1525" spans="1:34" ht="15.75">
      <c r="A1525" s="39">
        <f t="shared" si="23"/>
        <v>98</v>
      </c>
      <c r="B1525" s="2">
        <v>646</v>
      </c>
      <c r="C1525" s="2">
        <v>9</v>
      </c>
      <c r="D1525" s="2">
        <v>1817</v>
      </c>
      <c r="E1525">
        <v>6386</v>
      </c>
      <c r="G1525" s="1"/>
      <c r="H1525" s="1" t="s">
        <v>1541</v>
      </c>
      <c r="I1525" s="2">
        <v>98</v>
      </c>
      <c r="J1525" s="2">
        <v>0</v>
      </c>
      <c r="K1525" s="8" t="s">
        <v>864</v>
      </c>
      <c r="L1525" s="43" t="s">
        <v>3665</v>
      </c>
      <c r="P1525" s="41">
        <v>22</v>
      </c>
      <c r="Q1525" s="41">
        <v>7</v>
      </c>
      <c r="R1525" s="41">
        <v>33</v>
      </c>
      <c r="S1525" t="s">
        <v>3343</v>
      </c>
      <c r="AH1525" t="s">
        <v>359</v>
      </c>
    </row>
    <row r="1526" spans="1:34" ht="15.75">
      <c r="A1526" s="29">
        <f t="shared" si="23"/>
        <v>99</v>
      </c>
      <c r="B1526" s="2">
        <v>646</v>
      </c>
      <c r="C1526" s="2">
        <v>9</v>
      </c>
      <c r="D1526" s="2">
        <v>1817</v>
      </c>
      <c r="E1526">
        <v>6387</v>
      </c>
      <c r="G1526" s="1"/>
      <c r="H1526" s="1" t="s">
        <v>1540</v>
      </c>
      <c r="I1526" s="2">
        <v>99</v>
      </c>
      <c r="J1526" s="2">
        <v>0</v>
      </c>
      <c r="K1526" s="8" t="s">
        <v>864</v>
      </c>
      <c r="L1526" s="43" t="s">
        <v>5740</v>
      </c>
      <c r="P1526" s="41">
        <v>3</v>
      </c>
      <c r="Q1526" s="41">
        <v>2</v>
      </c>
      <c r="R1526" s="41">
        <v>56</v>
      </c>
      <c r="S1526" t="s">
        <v>3321</v>
      </c>
      <c r="AH1526" t="s">
        <v>359</v>
      </c>
    </row>
    <row r="1527" spans="1:34" ht="15.75">
      <c r="A1527" s="29">
        <f t="shared" si="23"/>
        <v>17505</v>
      </c>
      <c r="B1527" s="8">
        <v>646</v>
      </c>
      <c r="C1527" s="2">
        <v>9</v>
      </c>
      <c r="D1527" s="2">
        <v>1817</v>
      </c>
      <c r="E1527">
        <v>6390</v>
      </c>
      <c r="F1527" s="9"/>
      <c r="G1527" s="7"/>
      <c r="H1527" s="7" t="s">
        <v>1540</v>
      </c>
      <c r="I1527" s="8">
        <v>1505</v>
      </c>
      <c r="J1527" s="8">
        <v>800</v>
      </c>
      <c r="K1527" s="8" t="s">
        <v>875</v>
      </c>
      <c r="L1527" s="43" t="s">
        <v>582</v>
      </c>
      <c r="M1527" s="41" t="s">
        <v>584</v>
      </c>
      <c r="N1527" s="41" t="s">
        <v>585</v>
      </c>
      <c r="O1527" s="41" t="s">
        <v>586</v>
      </c>
      <c r="P1527" s="41">
        <v>5</v>
      </c>
      <c r="Q1527" s="41">
        <v>8</v>
      </c>
      <c r="R1527" s="41">
        <v>80</v>
      </c>
      <c r="S1527" t="s">
        <v>583</v>
      </c>
      <c r="T1527" t="s">
        <v>587</v>
      </c>
      <c r="V1527" t="s">
        <v>588</v>
      </c>
      <c r="X1527">
        <v>1</v>
      </c>
      <c r="Y1527" s="13" t="s">
        <v>586</v>
      </c>
      <c r="AH1527" t="s">
        <v>359</v>
      </c>
    </row>
    <row r="1528" spans="1:34" ht="15.75">
      <c r="A1528" s="29">
        <f t="shared" si="23"/>
        <v>87</v>
      </c>
      <c r="B1528" s="2">
        <v>646</v>
      </c>
      <c r="C1528" s="2">
        <v>9</v>
      </c>
      <c r="D1528" s="2">
        <v>1817</v>
      </c>
      <c r="E1528">
        <v>6391</v>
      </c>
      <c r="G1528" s="1"/>
      <c r="H1528" s="1" t="s">
        <v>1540</v>
      </c>
      <c r="I1528" s="2">
        <v>87</v>
      </c>
      <c r="J1528" s="2">
        <v>0</v>
      </c>
      <c r="K1528" s="8" t="s">
        <v>875</v>
      </c>
      <c r="L1528" s="43" t="s">
        <v>3679</v>
      </c>
      <c r="P1528" s="41">
        <v>15</v>
      </c>
      <c r="Q1528" s="41">
        <v>11</v>
      </c>
      <c r="R1528" s="41">
        <v>71</v>
      </c>
      <c r="S1528" t="s">
        <v>3321</v>
      </c>
      <c r="AH1528" t="s">
        <v>359</v>
      </c>
    </row>
    <row r="1529" spans="1:34" ht="15.75">
      <c r="A1529" s="29">
        <f t="shared" si="23"/>
        <v>210</v>
      </c>
      <c r="B1529" s="2">
        <v>646</v>
      </c>
      <c r="C1529" s="2">
        <v>9</v>
      </c>
      <c r="D1529" s="2">
        <v>1817</v>
      </c>
      <c r="E1529">
        <v>6392</v>
      </c>
      <c r="G1529" s="1"/>
      <c r="H1529" s="1" t="s">
        <v>1540</v>
      </c>
      <c r="I1529" s="2">
        <v>210</v>
      </c>
      <c r="J1529" s="2">
        <v>0</v>
      </c>
      <c r="K1529" s="8" t="s">
        <v>875</v>
      </c>
      <c r="L1529" s="43" t="s">
        <v>2448</v>
      </c>
      <c r="P1529" s="41">
        <v>16</v>
      </c>
      <c r="Q1529" s="41">
        <v>9</v>
      </c>
      <c r="R1529" s="41">
        <v>68</v>
      </c>
      <c r="S1529" t="s">
        <v>3321</v>
      </c>
      <c r="AH1529" t="s">
        <v>359</v>
      </c>
    </row>
    <row r="1530" spans="1:34" ht="15.75">
      <c r="A1530" s="29">
        <f t="shared" si="23"/>
        <v>71</v>
      </c>
      <c r="B1530" s="2">
        <v>646</v>
      </c>
      <c r="C1530" s="2">
        <v>9</v>
      </c>
      <c r="D1530" s="2">
        <v>1817</v>
      </c>
      <c r="E1530">
        <v>6393</v>
      </c>
      <c r="G1530" s="1"/>
      <c r="H1530" s="1" t="s">
        <v>850</v>
      </c>
      <c r="I1530" s="2">
        <v>71</v>
      </c>
      <c r="J1530" s="2">
        <v>0</v>
      </c>
      <c r="K1530" s="8" t="s">
        <v>875</v>
      </c>
      <c r="L1530" s="43" t="s">
        <v>589</v>
      </c>
      <c r="P1530" s="41">
        <v>9</v>
      </c>
      <c r="Q1530" s="41">
        <v>8</v>
      </c>
      <c r="R1530" s="41">
        <v>31</v>
      </c>
      <c r="S1530" t="s">
        <v>3321</v>
      </c>
      <c r="AH1530" t="s">
        <v>359</v>
      </c>
    </row>
    <row r="1531" spans="1:34" ht="15.75">
      <c r="A1531" s="29">
        <f t="shared" si="23"/>
        <v>298</v>
      </c>
      <c r="B1531" s="2">
        <v>646</v>
      </c>
      <c r="C1531" s="2">
        <v>9</v>
      </c>
      <c r="D1531" s="2">
        <v>1817</v>
      </c>
      <c r="E1531">
        <v>6394</v>
      </c>
      <c r="G1531" s="1"/>
      <c r="H1531" s="1" t="s">
        <v>1549</v>
      </c>
      <c r="I1531" s="2">
        <v>298</v>
      </c>
      <c r="J1531" s="2">
        <v>0</v>
      </c>
      <c r="K1531" s="8" t="s">
        <v>875</v>
      </c>
      <c r="L1531" s="43" t="s">
        <v>5740</v>
      </c>
      <c r="P1531" s="41">
        <v>3</v>
      </c>
      <c r="Q1531" s="41">
        <v>12</v>
      </c>
      <c r="R1531" s="41">
        <v>53</v>
      </c>
      <c r="S1531" t="s">
        <v>1547</v>
      </c>
      <c r="T1531" t="s">
        <v>590</v>
      </c>
      <c r="AH1531" t="s">
        <v>359</v>
      </c>
    </row>
    <row r="1532" spans="1:34" ht="15.75">
      <c r="A1532" s="29">
        <f t="shared" si="23"/>
        <v>1560</v>
      </c>
      <c r="B1532" s="2">
        <v>407</v>
      </c>
      <c r="C1532" s="2">
        <v>9</v>
      </c>
      <c r="D1532" s="2">
        <v>1817</v>
      </c>
      <c r="E1532">
        <v>6405</v>
      </c>
      <c r="G1532" s="1"/>
      <c r="H1532" s="1" t="s">
        <v>1540</v>
      </c>
      <c r="I1532" s="2">
        <v>1560</v>
      </c>
      <c r="J1532" s="2"/>
      <c r="K1532" s="8" t="s">
        <v>850</v>
      </c>
      <c r="L1532" s="43" t="s">
        <v>591</v>
      </c>
      <c r="P1532" s="41">
        <v>28</v>
      </c>
      <c r="Q1532" s="41">
        <v>2</v>
      </c>
      <c r="V1532" t="s">
        <v>592</v>
      </c>
      <c r="AH1532" t="s">
        <v>359</v>
      </c>
    </row>
    <row r="1533" spans="1:34" ht="15.75">
      <c r="A1533" s="29">
        <f t="shared" si="23"/>
        <v>23240</v>
      </c>
      <c r="B1533" s="8">
        <v>647</v>
      </c>
      <c r="C1533" s="8">
        <v>9</v>
      </c>
      <c r="D1533" s="2">
        <v>1817</v>
      </c>
      <c r="E1533">
        <v>6406</v>
      </c>
      <c r="F1533" s="9"/>
      <c r="G1533" s="7"/>
      <c r="H1533" s="9" t="s">
        <v>1540</v>
      </c>
      <c r="I1533" s="8">
        <v>0</v>
      </c>
      <c r="J1533" s="8">
        <v>1162</v>
      </c>
      <c r="K1533" s="8" t="s">
        <v>850</v>
      </c>
      <c r="L1533" s="43" t="s">
        <v>593</v>
      </c>
      <c r="M1533" s="43" t="s">
        <v>2788</v>
      </c>
      <c r="N1533" s="43" t="s">
        <v>1555</v>
      </c>
      <c r="O1533" s="41" t="s">
        <v>595</v>
      </c>
      <c r="P1533" s="41">
        <v>16</v>
      </c>
      <c r="Q1533" s="41">
        <v>7</v>
      </c>
      <c r="S1533" t="s">
        <v>594</v>
      </c>
      <c r="T1533" t="s">
        <v>2974</v>
      </c>
      <c r="V1533" t="s">
        <v>1784</v>
      </c>
      <c r="X1533">
        <v>1</v>
      </c>
      <c r="Y1533" t="s">
        <v>596</v>
      </c>
      <c r="AH1533" t="s">
        <v>359</v>
      </c>
    </row>
    <row r="1534" spans="1:38" s="40" customFormat="1" ht="15.75">
      <c r="A1534" s="39">
        <f t="shared" si="23"/>
        <v>89716</v>
      </c>
      <c r="B1534" s="8">
        <v>647</v>
      </c>
      <c r="C1534" s="8">
        <v>9</v>
      </c>
      <c r="D1534" s="2">
        <v>1817</v>
      </c>
      <c r="E1534">
        <v>6407</v>
      </c>
      <c r="F1534" s="9"/>
      <c r="G1534" s="7"/>
      <c r="H1534" s="9" t="s">
        <v>1540</v>
      </c>
      <c r="I1534" s="8">
        <v>41716</v>
      </c>
      <c r="J1534" s="8">
        <v>2400</v>
      </c>
      <c r="K1534" s="8" t="s">
        <v>850</v>
      </c>
      <c r="L1534" s="43" t="s">
        <v>593</v>
      </c>
      <c r="M1534" s="41" t="s">
        <v>598</v>
      </c>
      <c r="N1534" s="41" t="s">
        <v>599</v>
      </c>
      <c r="O1534" s="41" t="s">
        <v>600</v>
      </c>
      <c r="P1534" s="41">
        <v>27</v>
      </c>
      <c r="Q1534" s="41">
        <v>12</v>
      </c>
      <c r="R1534" s="41">
        <v>77</v>
      </c>
      <c r="S1534" t="s">
        <v>597</v>
      </c>
      <c r="T1534" t="s">
        <v>601</v>
      </c>
      <c r="U1534"/>
      <c r="V1534" t="s">
        <v>602</v>
      </c>
      <c r="W1534"/>
      <c r="X1534">
        <v>1</v>
      </c>
      <c r="Y1534" t="s">
        <v>603</v>
      </c>
      <c r="Z1534"/>
      <c r="AA1534"/>
      <c r="AB1534"/>
      <c r="AC1534"/>
      <c r="AD1534"/>
      <c r="AE1534"/>
      <c r="AF1534"/>
      <c r="AG1534"/>
      <c r="AH1534" t="s">
        <v>359</v>
      </c>
      <c r="AI1534"/>
      <c r="AJ1534"/>
      <c r="AK1534"/>
      <c r="AL1534"/>
    </row>
    <row r="1535" spans="1:34" ht="15.75">
      <c r="A1535" s="29">
        <f t="shared" si="23"/>
        <v>217</v>
      </c>
      <c r="B1535" s="8">
        <v>647</v>
      </c>
      <c r="C1535" s="8">
        <v>9</v>
      </c>
      <c r="D1535" s="2">
        <v>1817</v>
      </c>
      <c r="E1535">
        <v>6408</v>
      </c>
      <c r="F1535" s="9"/>
      <c r="G1535" s="7"/>
      <c r="H1535" s="9" t="s">
        <v>1540</v>
      </c>
      <c r="I1535" s="8">
        <v>217</v>
      </c>
      <c r="J1535" s="8">
        <v>0</v>
      </c>
      <c r="K1535" s="8" t="s">
        <v>850</v>
      </c>
      <c r="L1535" s="43" t="s">
        <v>5745</v>
      </c>
      <c r="N1535" s="41" t="s">
        <v>3347</v>
      </c>
      <c r="P1535" s="41">
        <v>22</v>
      </c>
      <c r="Q1535" s="41">
        <v>1</v>
      </c>
      <c r="R1535" s="41">
        <v>14</v>
      </c>
      <c r="S1535" t="s">
        <v>3343</v>
      </c>
      <c r="AH1535" t="s">
        <v>359</v>
      </c>
    </row>
    <row r="1536" spans="1:34" ht="15.75">
      <c r="A1536" s="29">
        <f t="shared" si="23"/>
        <v>51</v>
      </c>
      <c r="B1536" s="8">
        <v>647</v>
      </c>
      <c r="C1536" s="8">
        <v>9</v>
      </c>
      <c r="D1536" s="2">
        <v>1817</v>
      </c>
      <c r="E1536">
        <v>6409</v>
      </c>
      <c r="F1536" s="9"/>
      <c r="G1536" s="7"/>
      <c r="H1536" s="9" t="s">
        <v>1540</v>
      </c>
      <c r="I1536" s="8">
        <v>51</v>
      </c>
      <c r="J1536" s="8">
        <v>0</v>
      </c>
      <c r="K1536" s="8" t="s">
        <v>850</v>
      </c>
      <c r="L1536" s="43" t="s">
        <v>5745</v>
      </c>
      <c r="P1536" s="41">
        <v>10</v>
      </c>
      <c r="Q1536" s="41">
        <v>4</v>
      </c>
      <c r="R1536" s="41">
        <v>85</v>
      </c>
      <c r="S1536" t="s">
        <v>3324</v>
      </c>
      <c r="AH1536" t="s">
        <v>359</v>
      </c>
    </row>
    <row r="1537" spans="1:34" ht="15.75">
      <c r="A1537" s="29">
        <f t="shared" si="23"/>
        <v>223</v>
      </c>
      <c r="B1537" s="8">
        <v>647</v>
      </c>
      <c r="C1537" s="8">
        <v>9</v>
      </c>
      <c r="D1537" s="2">
        <v>1817</v>
      </c>
      <c r="E1537">
        <v>6410</v>
      </c>
      <c r="F1537" s="9"/>
      <c r="G1537" s="7"/>
      <c r="H1537" s="9" t="s">
        <v>1540</v>
      </c>
      <c r="I1537" s="8">
        <v>223</v>
      </c>
      <c r="J1537" s="8">
        <v>0</v>
      </c>
      <c r="K1537" s="8" t="s">
        <v>850</v>
      </c>
      <c r="L1537" s="43" t="s">
        <v>5745</v>
      </c>
      <c r="P1537" s="41">
        <v>4</v>
      </c>
      <c r="Q1537" s="41">
        <v>4</v>
      </c>
      <c r="R1537" s="41">
        <v>24</v>
      </c>
      <c r="S1537" t="s">
        <v>3321</v>
      </c>
      <c r="AH1537" t="s">
        <v>359</v>
      </c>
    </row>
    <row r="1538" spans="1:34" ht="15.75">
      <c r="A1538" s="29">
        <f aca="true" t="shared" si="24" ref="A1538:A1601">I1538+J1538*20*X1538</f>
        <v>204</v>
      </c>
      <c r="B1538" s="8">
        <v>647</v>
      </c>
      <c r="C1538" s="8">
        <v>9</v>
      </c>
      <c r="D1538" s="2">
        <v>1817</v>
      </c>
      <c r="E1538">
        <v>6411</v>
      </c>
      <c r="F1538" s="9"/>
      <c r="G1538" s="7"/>
      <c r="H1538" s="9" t="s">
        <v>1541</v>
      </c>
      <c r="I1538" s="8">
        <v>204</v>
      </c>
      <c r="J1538" s="8">
        <v>0</v>
      </c>
      <c r="K1538" s="8" t="s">
        <v>850</v>
      </c>
      <c r="L1538" s="43" t="s">
        <v>604</v>
      </c>
      <c r="N1538" s="41" t="s">
        <v>3347</v>
      </c>
      <c r="P1538" s="41">
        <v>19</v>
      </c>
      <c r="Q1538" s="41">
        <v>9</v>
      </c>
      <c r="R1538" s="41">
        <v>3</v>
      </c>
      <c r="S1538" t="s">
        <v>3343</v>
      </c>
      <c r="AH1538" t="s">
        <v>359</v>
      </c>
    </row>
    <row r="1539" spans="1:34" ht="15.75">
      <c r="A1539" s="29">
        <f t="shared" si="24"/>
        <v>745</v>
      </c>
      <c r="B1539" s="8">
        <v>647</v>
      </c>
      <c r="C1539" s="8">
        <v>9</v>
      </c>
      <c r="D1539" s="2">
        <v>1817</v>
      </c>
      <c r="E1539">
        <v>6412</v>
      </c>
      <c r="F1539" s="9"/>
      <c r="G1539" s="7"/>
      <c r="H1539" s="9" t="s">
        <v>1540</v>
      </c>
      <c r="I1539" s="8">
        <v>745</v>
      </c>
      <c r="J1539" s="8">
        <v>0</v>
      </c>
      <c r="K1539" s="8" t="s">
        <v>850</v>
      </c>
      <c r="L1539" s="43" t="s">
        <v>5747</v>
      </c>
      <c r="P1539" s="41">
        <v>29</v>
      </c>
      <c r="Q1539" s="41">
        <v>5</v>
      </c>
      <c r="R1539" s="41">
        <v>75</v>
      </c>
      <c r="S1539" t="s">
        <v>3321</v>
      </c>
      <c r="AH1539" t="s">
        <v>359</v>
      </c>
    </row>
    <row r="1540" spans="1:34" ht="15.75">
      <c r="A1540" s="29">
        <f t="shared" si="24"/>
        <v>99</v>
      </c>
      <c r="B1540" s="2">
        <v>647</v>
      </c>
      <c r="C1540" s="2">
        <v>9</v>
      </c>
      <c r="D1540" s="2">
        <v>1817</v>
      </c>
      <c r="E1540">
        <v>6414</v>
      </c>
      <c r="G1540" s="1"/>
      <c r="H1540" t="s">
        <v>1541</v>
      </c>
      <c r="I1540" s="2">
        <v>99</v>
      </c>
      <c r="J1540" s="2">
        <v>0</v>
      </c>
      <c r="K1540" s="8" t="s">
        <v>850</v>
      </c>
      <c r="L1540" s="43" t="s">
        <v>5949</v>
      </c>
      <c r="P1540" s="41">
        <v>3</v>
      </c>
      <c r="Q1540" s="41">
        <v>1</v>
      </c>
      <c r="R1540" s="41">
        <v>43</v>
      </c>
      <c r="S1540" t="s">
        <v>3321</v>
      </c>
      <c r="AH1540" t="s">
        <v>359</v>
      </c>
    </row>
    <row r="1541" spans="1:34" ht="15.75">
      <c r="A1541" s="29">
        <f t="shared" si="24"/>
        <v>22563</v>
      </c>
      <c r="B1541" s="8">
        <v>647</v>
      </c>
      <c r="C1541" s="8">
        <v>9</v>
      </c>
      <c r="D1541" s="2">
        <v>1817</v>
      </c>
      <c r="E1541">
        <v>6415</v>
      </c>
      <c r="F1541" s="9"/>
      <c r="G1541" s="7"/>
      <c r="H1541" s="9" t="s">
        <v>1540</v>
      </c>
      <c r="I1541" s="8">
        <v>22563</v>
      </c>
      <c r="J1541" s="8">
        <v>0</v>
      </c>
      <c r="K1541" s="8" t="s">
        <v>850</v>
      </c>
      <c r="L1541" s="43" t="s">
        <v>607</v>
      </c>
      <c r="M1541" s="43" t="s">
        <v>3159</v>
      </c>
      <c r="N1541" s="43" t="s">
        <v>609</v>
      </c>
      <c r="O1541" s="43" t="s">
        <v>610</v>
      </c>
      <c r="P1541" s="41">
        <v>2</v>
      </c>
      <c r="Q1541" s="41">
        <v>6</v>
      </c>
      <c r="R1541" s="41">
        <v>64</v>
      </c>
      <c r="S1541" t="s">
        <v>608</v>
      </c>
      <c r="T1541" t="s">
        <v>611</v>
      </c>
      <c r="V1541" t="s">
        <v>612</v>
      </c>
      <c r="AH1541" t="s">
        <v>359</v>
      </c>
    </row>
    <row r="1542" spans="1:34" ht="15.75">
      <c r="A1542" s="29">
        <f t="shared" si="24"/>
        <v>48332</v>
      </c>
      <c r="B1542" s="8">
        <v>647</v>
      </c>
      <c r="C1542" s="8">
        <v>9</v>
      </c>
      <c r="D1542" s="2">
        <v>1817</v>
      </c>
      <c r="E1542">
        <v>6416</v>
      </c>
      <c r="F1542" s="9"/>
      <c r="G1542" s="7"/>
      <c r="H1542" s="9" t="s">
        <v>1541</v>
      </c>
      <c r="I1542" s="8">
        <v>48332</v>
      </c>
      <c r="J1542" s="8">
        <v>0</v>
      </c>
      <c r="K1542" s="8" t="s">
        <v>850</v>
      </c>
      <c r="L1542" s="43" t="s">
        <v>613</v>
      </c>
      <c r="M1542" s="41" t="s">
        <v>615</v>
      </c>
      <c r="N1542" s="41" t="s">
        <v>616</v>
      </c>
      <c r="O1542" s="41" t="s">
        <v>617</v>
      </c>
      <c r="P1542" s="41">
        <v>30</v>
      </c>
      <c r="Q1542" s="41">
        <v>7</v>
      </c>
      <c r="R1542" s="41">
        <v>65</v>
      </c>
      <c r="S1542" t="s">
        <v>614</v>
      </c>
      <c r="T1542" t="s">
        <v>4784</v>
      </c>
      <c r="V1542" t="s">
        <v>1584</v>
      </c>
      <c r="AH1542" t="s">
        <v>359</v>
      </c>
    </row>
    <row r="1543" spans="1:34" ht="15.75">
      <c r="A1543" s="29">
        <f t="shared" si="24"/>
        <v>148</v>
      </c>
      <c r="B1543" s="8">
        <v>647</v>
      </c>
      <c r="C1543" s="8">
        <v>9</v>
      </c>
      <c r="D1543" s="2">
        <v>1817</v>
      </c>
      <c r="E1543">
        <v>6417</v>
      </c>
      <c r="F1543" s="9"/>
      <c r="G1543" s="7"/>
      <c r="H1543" s="9" t="s">
        <v>1541</v>
      </c>
      <c r="I1543" s="8">
        <v>148</v>
      </c>
      <c r="J1543" s="8">
        <v>0</v>
      </c>
      <c r="K1543" s="8" t="s">
        <v>850</v>
      </c>
      <c r="L1543" s="43" t="s">
        <v>5949</v>
      </c>
      <c r="P1543" s="41">
        <v>30</v>
      </c>
      <c r="Q1543" s="41">
        <v>10</v>
      </c>
      <c r="R1543" s="41" t="s">
        <v>1547</v>
      </c>
      <c r="S1543" t="s">
        <v>1547</v>
      </c>
      <c r="T1543" t="s">
        <v>618</v>
      </c>
      <c r="AH1543" t="s">
        <v>359</v>
      </c>
    </row>
    <row r="1544" spans="1:34" ht="15.75">
      <c r="A1544" s="29">
        <f t="shared" si="24"/>
        <v>59</v>
      </c>
      <c r="B1544" s="8">
        <v>647</v>
      </c>
      <c r="C1544" s="8">
        <v>9</v>
      </c>
      <c r="D1544" s="2">
        <v>1817</v>
      </c>
      <c r="E1544">
        <v>6419</v>
      </c>
      <c r="F1544" s="9"/>
      <c r="G1544" s="7"/>
      <c r="H1544" s="9" t="s">
        <v>1540</v>
      </c>
      <c r="I1544" s="8">
        <v>59</v>
      </c>
      <c r="J1544" s="8">
        <v>0</v>
      </c>
      <c r="K1544" s="8" t="s">
        <v>850</v>
      </c>
      <c r="L1544" s="43" t="s">
        <v>624</v>
      </c>
      <c r="P1544" s="41">
        <v>19</v>
      </c>
      <c r="Q1544" s="41">
        <v>1</v>
      </c>
      <c r="R1544" s="41">
        <v>67</v>
      </c>
      <c r="S1544" t="s">
        <v>3321</v>
      </c>
      <c r="AH1544" t="s">
        <v>359</v>
      </c>
    </row>
    <row r="1545" spans="1:34" ht="15.75">
      <c r="A1545" s="29">
        <f t="shared" si="24"/>
        <v>600</v>
      </c>
      <c r="B1545" s="8">
        <v>647</v>
      </c>
      <c r="C1545" s="8">
        <v>9</v>
      </c>
      <c r="D1545" s="2">
        <v>1817</v>
      </c>
      <c r="E1545">
        <v>6420</v>
      </c>
      <c r="F1545" s="9"/>
      <c r="G1545" s="7"/>
      <c r="H1545" s="9" t="s">
        <v>1541</v>
      </c>
      <c r="I1545" s="8">
        <v>600</v>
      </c>
      <c r="J1545" s="8">
        <v>0</v>
      </c>
      <c r="K1545" s="8" t="s">
        <v>850</v>
      </c>
      <c r="L1545" s="43" t="s">
        <v>3682</v>
      </c>
      <c r="P1545" s="41">
        <v>3</v>
      </c>
      <c r="Q1545" s="41">
        <v>7</v>
      </c>
      <c r="R1545" s="41">
        <v>46</v>
      </c>
      <c r="S1545" t="s">
        <v>3321</v>
      </c>
      <c r="AH1545" t="s">
        <v>359</v>
      </c>
    </row>
    <row r="1546" spans="1:34" ht="15.75">
      <c r="A1546" s="29">
        <f t="shared" si="24"/>
        <v>574</v>
      </c>
      <c r="B1546" s="8">
        <v>647</v>
      </c>
      <c r="C1546" s="8">
        <v>9</v>
      </c>
      <c r="D1546" s="2">
        <v>1817</v>
      </c>
      <c r="E1546">
        <v>6421</v>
      </c>
      <c r="F1546" s="9"/>
      <c r="G1546" s="7"/>
      <c r="H1546" s="9" t="s">
        <v>1541</v>
      </c>
      <c r="I1546" s="8">
        <f>274+300</f>
        <v>574</v>
      </c>
      <c r="J1546" s="8">
        <v>0</v>
      </c>
      <c r="K1546" s="8" t="s">
        <v>850</v>
      </c>
      <c r="L1546" s="43" t="s">
        <v>625</v>
      </c>
      <c r="P1546" s="41">
        <v>7</v>
      </c>
      <c r="Q1546" s="41">
        <v>4</v>
      </c>
      <c r="R1546" s="41">
        <v>64</v>
      </c>
      <c r="S1546" t="s">
        <v>3321</v>
      </c>
      <c r="AH1546" t="s">
        <v>359</v>
      </c>
    </row>
    <row r="1547" spans="1:34" ht="15.75">
      <c r="A1547" s="29">
        <f t="shared" si="24"/>
        <v>96617</v>
      </c>
      <c r="B1547" s="8">
        <v>647</v>
      </c>
      <c r="C1547" s="8">
        <v>9</v>
      </c>
      <c r="D1547" s="2">
        <v>1817</v>
      </c>
      <c r="E1547">
        <v>6422</v>
      </c>
      <c r="F1547" s="9"/>
      <c r="G1547" s="7"/>
      <c r="H1547" s="9" t="s">
        <v>1541</v>
      </c>
      <c r="I1547" s="8">
        <v>90367</v>
      </c>
      <c r="J1547" s="8">
        <v>1250</v>
      </c>
      <c r="K1547" s="8" t="s">
        <v>850</v>
      </c>
      <c r="L1547" s="43" t="s">
        <v>626</v>
      </c>
      <c r="M1547" s="41" t="s">
        <v>628</v>
      </c>
      <c r="O1547" s="41" t="s">
        <v>629</v>
      </c>
      <c r="P1547" s="41">
        <v>24</v>
      </c>
      <c r="Q1547" s="41">
        <v>8</v>
      </c>
      <c r="R1547" s="41">
        <v>29</v>
      </c>
      <c r="S1547" t="s">
        <v>627</v>
      </c>
      <c r="T1547" t="s">
        <v>630</v>
      </c>
      <c r="V1547" t="s">
        <v>3373</v>
      </c>
      <c r="X1547">
        <v>0.25</v>
      </c>
      <c r="Y1547" t="s">
        <v>631</v>
      </c>
      <c r="AH1547" t="s">
        <v>359</v>
      </c>
    </row>
    <row r="1548" spans="1:34" ht="15.75">
      <c r="A1548" s="29">
        <f t="shared" si="24"/>
        <v>22</v>
      </c>
      <c r="B1548" s="2">
        <v>647</v>
      </c>
      <c r="C1548" s="2">
        <v>9</v>
      </c>
      <c r="D1548" s="2">
        <v>1817</v>
      </c>
      <c r="E1548">
        <v>6424</v>
      </c>
      <c r="G1548" s="1"/>
      <c r="H1548" t="s">
        <v>1541</v>
      </c>
      <c r="I1548" s="2">
        <v>22</v>
      </c>
      <c r="J1548" s="2">
        <v>0</v>
      </c>
      <c r="K1548" s="8" t="s">
        <v>850</v>
      </c>
      <c r="L1548" s="43" t="s">
        <v>5751</v>
      </c>
      <c r="P1548" s="41">
        <v>13</v>
      </c>
      <c r="Q1548" s="41">
        <v>8</v>
      </c>
      <c r="R1548" s="41">
        <v>26</v>
      </c>
      <c r="S1548" t="s">
        <v>3321</v>
      </c>
      <c r="U1548" t="s">
        <v>635</v>
      </c>
      <c r="AH1548" t="s">
        <v>359</v>
      </c>
    </row>
    <row r="1549" spans="1:34" ht="15.75">
      <c r="A1549" s="29">
        <f t="shared" si="24"/>
        <v>300</v>
      </c>
      <c r="B1549" s="2">
        <v>647</v>
      </c>
      <c r="C1549" s="2">
        <v>9</v>
      </c>
      <c r="D1549" s="2">
        <v>1817</v>
      </c>
      <c r="E1549">
        <v>6425</v>
      </c>
      <c r="G1549" s="1"/>
      <c r="H1549" t="s">
        <v>850</v>
      </c>
      <c r="I1549" s="2">
        <v>300</v>
      </c>
      <c r="J1549" s="2">
        <v>0</v>
      </c>
      <c r="K1549" s="8" t="s">
        <v>850</v>
      </c>
      <c r="L1549" s="43" t="s">
        <v>625</v>
      </c>
      <c r="P1549" s="41">
        <v>7</v>
      </c>
      <c r="Q1549" s="41">
        <v>4</v>
      </c>
      <c r="R1549" s="41" t="s">
        <v>1547</v>
      </c>
      <c r="S1549" t="s">
        <v>1547</v>
      </c>
      <c r="AH1549" t="s">
        <v>359</v>
      </c>
    </row>
    <row r="1550" spans="1:34" ht="15.75">
      <c r="A1550" s="29">
        <f t="shared" si="24"/>
        <v>22</v>
      </c>
      <c r="B1550" s="2">
        <v>647</v>
      </c>
      <c r="C1550" s="2">
        <v>9</v>
      </c>
      <c r="D1550" s="2">
        <v>1817</v>
      </c>
      <c r="E1550">
        <v>6426</v>
      </c>
      <c r="G1550" s="1"/>
      <c r="H1550" t="s">
        <v>850</v>
      </c>
      <c r="I1550" s="2">
        <v>22</v>
      </c>
      <c r="J1550" s="2">
        <v>0</v>
      </c>
      <c r="K1550" s="8" t="s">
        <v>850</v>
      </c>
      <c r="L1550" s="43" t="s">
        <v>5752</v>
      </c>
      <c r="P1550" s="41">
        <v>27</v>
      </c>
      <c r="Q1550" s="41">
        <v>7</v>
      </c>
      <c r="R1550" s="41">
        <v>78</v>
      </c>
      <c r="S1550" t="s">
        <v>3329</v>
      </c>
      <c r="AH1550" t="s">
        <v>359</v>
      </c>
    </row>
    <row r="1551" spans="1:34" ht="15.75">
      <c r="A1551" s="29">
        <f t="shared" si="24"/>
        <v>1122</v>
      </c>
      <c r="B1551" s="2">
        <v>647</v>
      </c>
      <c r="C1551" s="2">
        <v>9</v>
      </c>
      <c r="D1551" s="2">
        <v>1817</v>
      </c>
      <c r="E1551">
        <v>6427</v>
      </c>
      <c r="G1551" s="1"/>
      <c r="H1551" t="s">
        <v>1549</v>
      </c>
      <c r="I1551" s="2">
        <v>1122</v>
      </c>
      <c r="J1551" s="2">
        <v>0</v>
      </c>
      <c r="K1551" s="8" t="s">
        <v>850</v>
      </c>
      <c r="L1551" s="43" t="s">
        <v>5753</v>
      </c>
      <c r="P1551" s="41">
        <v>16</v>
      </c>
      <c r="Q1551" s="41">
        <v>8</v>
      </c>
      <c r="R1551" s="41">
        <v>33</v>
      </c>
      <c r="S1551" t="s">
        <v>3321</v>
      </c>
      <c r="AH1551" t="s">
        <v>359</v>
      </c>
    </row>
    <row r="1552" spans="1:34" ht="15.75">
      <c r="A1552" s="39">
        <f t="shared" si="24"/>
        <v>82</v>
      </c>
      <c r="B1552" s="2">
        <v>648</v>
      </c>
      <c r="C1552" s="2">
        <v>9</v>
      </c>
      <c r="D1552" s="2">
        <v>1817</v>
      </c>
      <c r="E1552">
        <v>6457</v>
      </c>
      <c r="G1552" s="1"/>
      <c r="H1552" t="s">
        <v>1541</v>
      </c>
      <c r="I1552" s="2">
        <v>82</v>
      </c>
      <c r="J1552" s="2">
        <v>0</v>
      </c>
      <c r="K1552" s="8" t="s">
        <v>850</v>
      </c>
      <c r="L1552" s="43" t="s">
        <v>5754</v>
      </c>
      <c r="P1552" s="41">
        <v>26</v>
      </c>
      <c r="Q1552" s="41">
        <v>7</v>
      </c>
      <c r="R1552" s="41">
        <v>68</v>
      </c>
      <c r="S1552" t="s">
        <v>3321</v>
      </c>
      <c r="U1552" t="s">
        <v>636</v>
      </c>
      <c r="AH1552" t="s">
        <v>359</v>
      </c>
    </row>
    <row r="1553" spans="1:34" ht="15.75">
      <c r="A1553" s="29">
        <f t="shared" si="24"/>
        <v>2059</v>
      </c>
      <c r="B1553" s="2">
        <v>648</v>
      </c>
      <c r="C1553" s="2">
        <v>9</v>
      </c>
      <c r="D1553" s="2">
        <v>1817</v>
      </c>
      <c r="E1553">
        <v>6458</v>
      </c>
      <c r="G1553" s="1"/>
      <c r="H1553" t="s">
        <v>1541</v>
      </c>
      <c r="I1553" s="2">
        <v>2059</v>
      </c>
      <c r="J1553" s="2">
        <v>0</v>
      </c>
      <c r="K1553" s="8" t="s">
        <v>850</v>
      </c>
      <c r="L1553" s="43" t="s">
        <v>5754</v>
      </c>
      <c r="P1553" s="41">
        <v>10</v>
      </c>
      <c r="Q1553" s="41">
        <v>4</v>
      </c>
      <c r="R1553" s="41" t="s">
        <v>1547</v>
      </c>
      <c r="S1553" t="s">
        <v>3343</v>
      </c>
      <c r="AH1553" t="s">
        <v>359</v>
      </c>
    </row>
    <row r="1554" spans="1:34" ht="15.75">
      <c r="A1554" s="29">
        <f t="shared" si="24"/>
        <v>1905</v>
      </c>
      <c r="B1554" s="2">
        <v>648</v>
      </c>
      <c r="C1554" s="2">
        <v>9</v>
      </c>
      <c r="D1554" s="2">
        <v>1817</v>
      </c>
      <c r="E1554">
        <v>6459</v>
      </c>
      <c r="G1554" s="1"/>
      <c r="H1554" t="s">
        <v>1541</v>
      </c>
      <c r="I1554" s="2">
        <v>1905</v>
      </c>
      <c r="J1554" s="2">
        <v>0</v>
      </c>
      <c r="K1554" s="8" t="s">
        <v>850</v>
      </c>
      <c r="L1554" s="43" t="s">
        <v>5755</v>
      </c>
      <c r="P1554" s="41">
        <v>27</v>
      </c>
      <c r="Q1554" s="41">
        <v>12</v>
      </c>
      <c r="R1554" s="41">
        <v>75</v>
      </c>
      <c r="S1554" t="s">
        <v>3329</v>
      </c>
      <c r="AH1554" t="s">
        <v>359</v>
      </c>
    </row>
    <row r="1555" spans="1:34" ht="15.75">
      <c r="A1555" s="29">
        <f t="shared" si="24"/>
        <v>250</v>
      </c>
      <c r="B1555" s="2">
        <v>648</v>
      </c>
      <c r="C1555" s="2">
        <v>9</v>
      </c>
      <c r="D1555" s="2">
        <v>1817</v>
      </c>
      <c r="E1555">
        <v>6460</v>
      </c>
      <c r="G1555" s="1"/>
      <c r="H1555" t="s">
        <v>1541</v>
      </c>
      <c r="I1555" s="2">
        <v>250</v>
      </c>
      <c r="J1555" s="2">
        <v>0</v>
      </c>
      <c r="K1555" s="8" t="s">
        <v>850</v>
      </c>
      <c r="L1555" s="43" t="s">
        <v>3681</v>
      </c>
      <c r="P1555" s="41">
        <v>21</v>
      </c>
      <c r="Q1555" s="41">
        <v>5</v>
      </c>
      <c r="R1555" s="41">
        <v>62</v>
      </c>
      <c r="S1555" t="s">
        <v>3321</v>
      </c>
      <c r="AH1555" t="s">
        <v>359</v>
      </c>
    </row>
    <row r="1556" spans="1:34" ht="15.75">
      <c r="A1556" s="29">
        <f t="shared" si="24"/>
        <v>34</v>
      </c>
      <c r="B1556" s="2">
        <v>648</v>
      </c>
      <c r="C1556" s="2">
        <v>9</v>
      </c>
      <c r="D1556" s="2">
        <v>1817</v>
      </c>
      <c r="E1556">
        <v>6461</v>
      </c>
      <c r="G1556" s="1"/>
      <c r="H1556" t="s">
        <v>1540</v>
      </c>
      <c r="I1556" s="2">
        <v>34</v>
      </c>
      <c r="J1556" s="2">
        <v>0</v>
      </c>
      <c r="K1556" s="8" t="s">
        <v>850</v>
      </c>
      <c r="L1556" s="43" t="s">
        <v>3681</v>
      </c>
      <c r="P1556" s="41">
        <v>16</v>
      </c>
      <c r="Q1556" s="41">
        <v>9</v>
      </c>
      <c r="R1556" s="41" t="s">
        <v>1547</v>
      </c>
      <c r="S1556" t="s">
        <v>3324</v>
      </c>
      <c r="T1556" t="s">
        <v>3639</v>
      </c>
      <c r="U1556" t="s">
        <v>635</v>
      </c>
      <c r="AH1556" t="s">
        <v>359</v>
      </c>
    </row>
    <row r="1557" spans="1:34" ht="15.75">
      <c r="A1557" s="29">
        <f t="shared" si="24"/>
        <v>100</v>
      </c>
      <c r="B1557" s="2">
        <v>648</v>
      </c>
      <c r="C1557" s="2">
        <v>9</v>
      </c>
      <c r="D1557" s="2">
        <v>1817</v>
      </c>
      <c r="E1557">
        <v>6462</v>
      </c>
      <c r="G1557" s="1"/>
      <c r="H1557" t="s">
        <v>1541</v>
      </c>
      <c r="I1557" s="2">
        <v>100</v>
      </c>
      <c r="J1557" s="2">
        <v>0</v>
      </c>
      <c r="K1557" s="8" t="s">
        <v>850</v>
      </c>
      <c r="L1557" s="43" t="s">
        <v>637</v>
      </c>
      <c r="P1557" s="41">
        <v>28</v>
      </c>
      <c r="Q1557" s="41">
        <v>11</v>
      </c>
      <c r="R1557" s="41">
        <v>79</v>
      </c>
      <c r="S1557" t="s">
        <v>3329</v>
      </c>
      <c r="AH1557" t="s">
        <v>359</v>
      </c>
    </row>
    <row r="1558" spans="1:34" ht="15.75">
      <c r="A1558" s="29">
        <f t="shared" si="24"/>
        <v>13650</v>
      </c>
      <c r="B1558" s="8">
        <v>648</v>
      </c>
      <c r="C1558" s="8">
        <v>9</v>
      </c>
      <c r="D1558" s="2">
        <v>1817</v>
      </c>
      <c r="E1558">
        <v>6463</v>
      </c>
      <c r="F1558" s="9"/>
      <c r="G1558" s="7"/>
      <c r="H1558" s="9" t="s">
        <v>1540</v>
      </c>
      <c r="I1558" s="8">
        <v>2150</v>
      </c>
      <c r="J1558" s="8">
        <f>200+375</f>
        <v>575</v>
      </c>
      <c r="K1558" s="8" t="s">
        <v>850</v>
      </c>
      <c r="L1558" s="43" t="s">
        <v>5951</v>
      </c>
      <c r="P1558" s="41">
        <v>21</v>
      </c>
      <c r="Q1558" s="41">
        <v>4</v>
      </c>
      <c r="R1558" s="41">
        <v>85</v>
      </c>
      <c r="S1558" t="s">
        <v>638</v>
      </c>
      <c r="X1558">
        <v>1</v>
      </c>
      <c r="Y1558" t="s">
        <v>639</v>
      </c>
      <c r="AH1558" t="s">
        <v>359</v>
      </c>
    </row>
    <row r="1559" spans="1:34" ht="15.75">
      <c r="A1559" s="29">
        <f t="shared" si="24"/>
        <v>140</v>
      </c>
      <c r="B1559" s="8">
        <v>648</v>
      </c>
      <c r="C1559" s="8">
        <v>9</v>
      </c>
      <c r="D1559" s="2">
        <v>1817</v>
      </c>
      <c r="E1559">
        <v>6464</v>
      </c>
      <c r="F1559" s="9"/>
      <c r="G1559" s="7"/>
      <c r="H1559" s="9" t="s">
        <v>1540</v>
      </c>
      <c r="I1559" s="8">
        <v>140</v>
      </c>
      <c r="J1559" s="8">
        <v>0</v>
      </c>
      <c r="K1559" s="8" t="s">
        <v>850</v>
      </c>
      <c r="L1559" s="43" t="s">
        <v>5951</v>
      </c>
      <c r="P1559" s="41">
        <v>5</v>
      </c>
      <c r="Q1559" s="41">
        <v>8</v>
      </c>
      <c r="R1559" s="41">
        <v>53</v>
      </c>
      <c r="S1559" t="s">
        <v>3321</v>
      </c>
      <c r="AH1559" t="s">
        <v>359</v>
      </c>
    </row>
    <row r="1560" spans="1:34" ht="15.75">
      <c r="A1560" s="39">
        <f t="shared" si="24"/>
        <v>127</v>
      </c>
      <c r="B1560" s="8">
        <v>648</v>
      </c>
      <c r="C1560" s="8">
        <v>9</v>
      </c>
      <c r="D1560" s="2">
        <v>1817</v>
      </c>
      <c r="E1560">
        <v>6465</v>
      </c>
      <c r="F1560" s="9"/>
      <c r="G1560" s="7"/>
      <c r="H1560" s="9" t="s">
        <v>1540</v>
      </c>
      <c r="I1560" s="8">
        <v>127</v>
      </c>
      <c r="J1560" s="8">
        <v>0</v>
      </c>
      <c r="K1560" s="8" t="s">
        <v>850</v>
      </c>
      <c r="L1560" s="43" t="s">
        <v>5757</v>
      </c>
      <c r="P1560" s="41">
        <v>19</v>
      </c>
      <c r="Q1560" s="41">
        <v>2</v>
      </c>
      <c r="R1560" s="41">
        <v>84</v>
      </c>
      <c r="S1560" t="s">
        <v>3321</v>
      </c>
      <c r="AH1560" t="s">
        <v>359</v>
      </c>
    </row>
    <row r="1561" spans="1:34" ht="15.75">
      <c r="A1561" s="29">
        <f t="shared" si="24"/>
        <v>0</v>
      </c>
      <c r="B1561" s="8">
        <v>648</v>
      </c>
      <c r="C1561" s="8">
        <v>9</v>
      </c>
      <c r="D1561" s="2">
        <v>1817</v>
      </c>
      <c r="E1561">
        <v>6466</v>
      </c>
      <c r="F1561" s="9"/>
      <c r="G1561" s="7"/>
      <c r="H1561" s="9" t="s">
        <v>1541</v>
      </c>
      <c r="I1561" s="8">
        <v>0</v>
      </c>
      <c r="J1561" s="8">
        <v>0</v>
      </c>
      <c r="K1561" s="8" t="s">
        <v>850</v>
      </c>
      <c r="L1561" s="43" t="s">
        <v>5757</v>
      </c>
      <c r="P1561" s="41">
        <v>19</v>
      </c>
      <c r="Q1561" s="41">
        <v>6</v>
      </c>
      <c r="R1561" s="41">
        <v>51</v>
      </c>
      <c r="S1561" t="s">
        <v>3329</v>
      </c>
      <c r="V1561" t="s">
        <v>876</v>
      </c>
      <c r="AH1561" t="s">
        <v>359</v>
      </c>
    </row>
    <row r="1562" spans="1:34" ht="15.75">
      <c r="A1562" s="29">
        <f t="shared" si="24"/>
        <v>3021</v>
      </c>
      <c r="B1562" s="8">
        <v>648</v>
      </c>
      <c r="C1562" s="8">
        <v>9</v>
      </c>
      <c r="D1562" s="8">
        <v>1817</v>
      </c>
      <c r="E1562">
        <v>6467</v>
      </c>
      <c r="F1562" s="9"/>
      <c r="G1562" s="7"/>
      <c r="H1562" s="9" t="s">
        <v>1541</v>
      </c>
      <c r="I1562" s="8">
        <v>3021</v>
      </c>
      <c r="J1562" s="8">
        <v>0</v>
      </c>
      <c r="K1562" s="8" t="s">
        <v>850</v>
      </c>
      <c r="L1562" s="43" t="s">
        <v>5757</v>
      </c>
      <c r="N1562" s="41" t="s">
        <v>3347</v>
      </c>
      <c r="P1562" s="41">
        <v>8</v>
      </c>
      <c r="Q1562" s="41">
        <v>12</v>
      </c>
      <c r="R1562" s="41">
        <v>8</v>
      </c>
      <c r="S1562" t="s">
        <v>3343</v>
      </c>
      <c r="AH1562" t="s">
        <v>359</v>
      </c>
    </row>
    <row r="1563" spans="1:34" ht="15.75">
      <c r="A1563" s="29">
        <f t="shared" si="24"/>
        <v>12879</v>
      </c>
      <c r="B1563" s="8">
        <v>648</v>
      </c>
      <c r="C1563" s="8">
        <v>9</v>
      </c>
      <c r="D1563" s="2">
        <v>1817</v>
      </c>
      <c r="E1563">
        <v>6468</v>
      </c>
      <c r="F1563" s="9"/>
      <c r="G1563" s="7"/>
      <c r="H1563" s="9" t="s">
        <v>1541</v>
      </c>
      <c r="I1563" s="8">
        <v>12879</v>
      </c>
      <c r="J1563" s="8">
        <v>0</v>
      </c>
      <c r="K1563" s="8" t="s">
        <v>850</v>
      </c>
      <c r="L1563" s="43" t="s">
        <v>5757</v>
      </c>
      <c r="P1563" s="41">
        <v>16</v>
      </c>
      <c r="Q1563" s="41">
        <v>12</v>
      </c>
      <c r="R1563" s="41">
        <v>79</v>
      </c>
      <c r="S1563" t="s">
        <v>1547</v>
      </c>
      <c r="T1563" t="s">
        <v>640</v>
      </c>
      <c r="AH1563" t="s">
        <v>359</v>
      </c>
    </row>
    <row r="1564" spans="1:34" ht="15.75">
      <c r="A1564" s="29">
        <f t="shared" si="24"/>
        <v>94899</v>
      </c>
      <c r="B1564" s="8">
        <v>648</v>
      </c>
      <c r="C1564" s="8">
        <v>9</v>
      </c>
      <c r="D1564" s="2">
        <v>1817</v>
      </c>
      <c r="E1564">
        <v>6469</v>
      </c>
      <c r="F1564" s="9"/>
      <c r="G1564" s="7"/>
      <c r="H1564" s="9" t="s">
        <v>1541</v>
      </c>
      <c r="I1564" s="8">
        <v>43899</v>
      </c>
      <c r="J1564" s="8">
        <f>1250+1300</f>
        <v>2550</v>
      </c>
      <c r="K1564" s="8" t="s">
        <v>850</v>
      </c>
      <c r="L1564" s="43" t="s">
        <v>641</v>
      </c>
      <c r="M1564" s="41" t="s">
        <v>3506</v>
      </c>
      <c r="O1564" s="41" t="s">
        <v>643</v>
      </c>
      <c r="P1564" s="41">
        <v>17</v>
      </c>
      <c r="Q1564" s="41">
        <v>1</v>
      </c>
      <c r="R1564" s="41">
        <v>33</v>
      </c>
      <c r="S1564" t="s">
        <v>642</v>
      </c>
      <c r="T1564" t="s">
        <v>4645</v>
      </c>
      <c r="V1564" t="s">
        <v>644</v>
      </c>
      <c r="X1564">
        <v>1</v>
      </c>
      <c r="Y1564" t="s">
        <v>645</v>
      </c>
      <c r="AH1564" t="s">
        <v>359</v>
      </c>
    </row>
    <row r="1565" spans="1:34" ht="15.75">
      <c r="A1565" s="29">
        <f t="shared" si="24"/>
        <v>8755</v>
      </c>
      <c r="B1565" s="2">
        <v>648</v>
      </c>
      <c r="C1565" s="2">
        <v>9</v>
      </c>
      <c r="D1565" s="2">
        <v>1817</v>
      </c>
      <c r="E1565">
        <v>6471</v>
      </c>
      <c r="G1565" s="1"/>
      <c r="H1565" t="s">
        <v>1540</v>
      </c>
      <c r="I1565" s="2">
        <f>4500+4255</f>
        <v>8755</v>
      </c>
      <c r="J1565" s="2">
        <v>0</v>
      </c>
      <c r="K1565" s="8" t="s">
        <v>850</v>
      </c>
      <c r="L1565" s="43" t="s">
        <v>5954</v>
      </c>
      <c r="P1565" s="41">
        <v>2</v>
      </c>
      <c r="Q1565" s="41">
        <v>5</v>
      </c>
      <c r="R1565" s="41">
        <v>48</v>
      </c>
      <c r="S1565" t="s">
        <v>3321</v>
      </c>
      <c r="AH1565" t="s">
        <v>359</v>
      </c>
    </row>
    <row r="1566" spans="1:34" ht="15.75">
      <c r="A1566" s="29">
        <f t="shared" si="24"/>
        <v>13570</v>
      </c>
      <c r="B1566" s="2">
        <v>648</v>
      </c>
      <c r="C1566" s="2">
        <v>9</v>
      </c>
      <c r="D1566" s="2">
        <v>1817</v>
      </c>
      <c r="E1566">
        <v>6472</v>
      </c>
      <c r="G1566" s="1"/>
      <c r="H1566" t="s">
        <v>1540</v>
      </c>
      <c r="I1566" s="2">
        <v>13570</v>
      </c>
      <c r="J1566" s="2">
        <v>0</v>
      </c>
      <c r="K1566" s="8" t="s">
        <v>850</v>
      </c>
      <c r="L1566" s="43" t="s">
        <v>5954</v>
      </c>
      <c r="P1566" s="41">
        <v>11</v>
      </c>
      <c r="Q1566" s="41">
        <v>5</v>
      </c>
      <c r="R1566" s="41">
        <v>29</v>
      </c>
      <c r="S1566" t="s">
        <v>3321</v>
      </c>
      <c r="AH1566" t="s">
        <v>359</v>
      </c>
    </row>
    <row r="1567" spans="1:34" ht="15.75">
      <c r="A1567" s="29">
        <f t="shared" si="24"/>
        <v>40</v>
      </c>
      <c r="B1567" s="2">
        <v>648</v>
      </c>
      <c r="C1567" s="2">
        <v>9</v>
      </c>
      <c r="D1567" s="2">
        <v>1817</v>
      </c>
      <c r="E1567">
        <v>6473</v>
      </c>
      <c r="G1567" s="1"/>
      <c r="H1567" t="s">
        <v>850</v>
      </c>
      <c r="I1567" s="2">
        <v>40</v>
      </c>
      <c r="J1567" s="2">
        <v>0</v>
      </c>
      <c r="K1567" s="8" t="s">
        <v>850</v>
      </c>
      <c r="L1567" s="43" t="s">
        <v>5757</v>
      </c>
      <c r="P1567" s="41">
        <v>14</v>
      </c>
      <c r="Q1567" s="41">
        <v>8</v>
      </c>
      <c r="R1567" s="41" t="s">
        <v>1547</v>
      </c>
      <c r="S1567" t="s">
        <v>1547</v>
      </c>
      <c r="AH1567" t="s">
        <v>359</v>
      </c>
    </row>
    <row r="1568" spans="1:34" ht="15.75">
      <c r="A1568" s="29">
        <f t="shared" si="24"/>
        <v>26</v>
      </c>
      <c r="B1568" s="2">
        <v>649</v>
      </c>
      <c r="C1568" s="2">
        <v>9</v>
      </c>
      <c r="D1568" s="2">
        <v>1817</v>
      </c>
      <c r="E1568">
        <v>6500</v>
      </c>
      <c r="G1568" s="1"/>
      <c r="H1568" t="s">
        <v>1540</v>
      </c>
      <c r="I1568" s="2">
        <v>26</v>
      </c>
      <c r="J1568" s="2">
        <v>0</v>
      </c>
      <c r="K1568" s="2" t="s">
        <v>850</v>
      </c>
      <c r="L1568" s="43" t="s">
        <v>5955</v>
      </c>
      <c r="P1568" s="41">
        <v>17</v>
      </c>
      <c r="Q1568" s="41">
        <v>6</v>
      </c>
      <c r="R1568" s="41" t="s">
        <v>1547</v>
      </c>
      <c r="S1568" t="s">
        <v>3321</v>
      </c>
      <c r="T1568" t="s">
        <v>3329</v>
      </c>
      <c r="AH1568" t="s">
        <v>359</v>
      </c>
    </row>
    <row r="1569" spans="1:34" ht="15.75">
      <c r="A1569" s="29">
        <f t="shared" si="24"/>
        <v>105</v>
      </c>
      <c r="B1569" s="2">
        <v>407</v>
      </c>
      <c r="C1569" s="2">
        <v>9</v>
      </c>
      <c r="D1569" s="2">
        <v>1817</v>
      </c>
      <c r="E1569">
        <v>6501</v>
      </c>
      <c r="G1569" s="1"/>
      <c r="H1569" t="s">
        <v>1549</v>
      </c>
      <c r="I1569" s="2">
        <v>105</v>
      </c>
      <c r="J1569" s="2"/>
      <c r="K1569" s="2" t="s">
        <v>865</v>
      </c>
      <c r="L1569" s="43" t="s">
        <v>649</v>
      </c>
      <c r="P1569" s="41">
        <v>4</v>
      </c>
      <c r="Q1569" s="41">
        <v>3</v>
      </c>
      <c r="R1569" s="41" t="s">
        <v>1547</v>
      </c>
      <c r="S1569" t="s">
        <v>884</v>
      </c>
      <c r="V1569" t="s">
        <v>650</v>
      </c>
      <c r="AH1569" t="s">
        <v>359</v>
      </c>
    </row>
    <row r="1570" spans="1:34" ht="15.75">
      <c r="A1570" s="29">
        <f t="shared" si="24"/>
        <v>225</v>
      </c>
      <c r="B1570" s="2">
        <v>407</v>
      </c>
      <c r="C1570" s="2">
        <v>9</v>
      </c>
      <c r="D1570" s="2">
        <v>1817</v>
      </c>
      <c r="E1570">
        <v>6502</v>
      </c>
      <c r="F1570" s="2"/>
      <c r="G1570" s="1"/>
      <c r="H1570" t="s">
        <v>1549</v>
      </c>
      <c r="I1570" s="2">
        <v>225</v>
      </c>
      <c r="J1570" s="2">
        <v>0</v>
      </c>
      <c r="K1570" s="2" t="s">
        <v>865</v>
      </c>
      <c r="L1570" s="43" t="s">
        <v>651</v>
      </c>
      <c r="P1570" s="41">
        <v>6</v>
      </c>
      <c r="Q1570" s="41">
        <v>3</v>
      </c>
      <c r="R1570" s="41" t="s">
        <v>1547</v>
      </c>
      <c r="S1570" t="s">
        <v>3321</v>
      </c>
      <c r="V1570" t="s">
        <v>652</v>
      </c>
      <c r="AH1570" t="s">
        <v>359</v>
      </c>
    </row>
    <row r="1571" spans="1:34" ht="15.75">
      <c r="A1571" s="29">
        <f t="shared" si="24"/>
        <v>20120</v>
      </c>
      <c r="B1571" s="2">
        <v>407</v>
      </c>
      <c r="C1571" s="2">
        <v>9</v>
      </c>
      <c r="D1571" s="2">
        <v>1817</v>
      </c>
      <c r="E1571">
        <v>6503</v>
      </c>
      <c r="G1571" s="1"/>
      <c r="H1571" t="s">
        <v>1549</v>
      </c>
      <c r="I1571" s="2">
        <v>20120</v>
      </c>
      <c r="J1571" s="2"/>
      <c r="K1571" s="2" t="s">
        <v>865</v>
      </c>
      <c r="L1571" s="43" t="s">
        <v>653</v>
      </c>
      <c r="M1571" s="41" t="s">
        <v>654</v>
      </c>
      <c r="N1571" s="41" t="s">
        <v>655</v>
      </c>
      <c r="O1571" s="41" t="s">
        <v>656</v>
      </c>
      <c r="P1571" s="41">
        <v>7</v>
      </c>
      <c r="Q1571" s="41">
        <v>3</v>
      </c>
      <c r="R1571" s="41" t="s">
        <v>1547</v>
      </c>
      <c r="S1571" t="s">
        <v>884</v>
      </c>
      <c r="V1571" t="s">
        <v>657</v>
      </c>
      <c r="AH1571" t="s">
        <v>359</v>
      </c>
    </row>
    <row r="1572" spans="1:34" ht="15.75">
      <c r="A1572" s="29">
        <f t="shared" si="24"/>
        <v>19632</v>
      </c>
      <c r="B1572" s="8">
        <v>649</v>
      </c>
      <c r="C1572" s="8">
        <v>9</v>
      </c>
      <c r="D1572" s="2">
        <v>1817</v>
      </c>
      <c r="E1572">
        <v>6505</v>
      </c>
      <c r="F1572" s="9"/>
      <c r="G1572" s="7"/>
      <c r="H1572" s="9" t="s">
        <v>1540</v>
      </c>
      <c r="I1572" s="8">
        <f>10237+9395</f>
        <v>19632</v>
      </c>
      <c r="J1572" s="8">
        <v>0</v>
      </c>
      <c r="K1572" s="2" t="s">
        <v>865</v>
      </c>
      <c r="L1572" s="43" t="s">
        <v>665</v>
      </c>
      <c r="M1572" s="41" t="s">
        <v>1375</v>
      </c>
      <c r="N1572" s="41" t="s">
        <v>667</v>
      </c>
      <c r="O1572" s="41" t="s">
        <v>668</v>
      </c>
      <c r="P1572" s="41">
        <v>8</v>
      </c>
      <c r="Q1572" s="41">
        <v>2</v>
      </c>
      <c r="R1572" s="41">
        <v>74</v>
      </c>
      <c r="S1572" t="s">
        <v>666</v>
      </c>
      <c r="T1572" t="s">
        <v>2974</v>
      </c>
      <c r="V1572" t="s">
        <v>669</v>
      </c>
      <c r="AH1572" t="s">
        <v>359</v>
      </c>
    </row>
    <row r="1573" spans="1:34" ht="15.75">
      <c r="A1573" s="29">
        <f t="shared" si="24"/>
        <v>24609</v>
      </c>
      <c r="B1573" s="2">
        <v>649</v>
      </c>
      <c r="C1573" s="2">
        <v>9</v>
      </c>
      <c r="D1573" s="2">
        <v>1817</v>
      </c>
      <c r="E1573">
        <v>6506</v>
      </c>
      <c r="G1573" s="1"/>
      <c r="H1573" s="9" t="s">
        <v>1549</v>
      </c>
      <c r="I1573" s="2">
        <v>24609</v>
      </c>
      <c r="J1573" s="2">
        <v>0</v>
      </c>
      <c r="K1573" s="2" t="s">
        <v>865</v>
      </c>
      <c r="L1573" s="43" t="s">
        <v>670</v>
      </c>
      <c r="M1573" s="41" t="s">
        <v>1375</v>
      </c>
      <c r="N1573" s="41" t="s">
        <v>3429</v>
      </c>
      <c r="O1573" s="41" t="s">
        <v>671</v>
      </c>
      <c r="P1573" s="41">
        <v>25</v>
      </c>
      <c r="Q1573" s="41">
        <v>2</v>
      </c>
      <c r="R1573" s="41">
        <v>39</v>
      </c>
      <c r="S1573" t="s">
        <v>3343</v>
      </c>
      <c r="T1573" t="s">
        <v>672</v>
      </c>
      <c r="V1573" t="s">
        <v>708</v>
      </c>
      <c r="AH1573" t="s">
        <v>359</v>
      </c>
    </row>
    <row r="1574" spans="1:34" ht="15.75">
      <c r="A1574" s="29">
        <f t="shared" si="24"/>
        <v>0</v>
      </c>
      <c r="B1574" s="2">
        <v>649</v>
      </c>
      <c r="C1574" s="2">
        <v>9</v>
      </c>
      <c r="D1574" s="2">
        <v>1817</v>
      </c>
      <c r="E1574">
        <v>6507</v>
      </c>
      <c r="G1574" s="1"/>
      <c r="H1574" s="9" t="s">
        <v>1549</v>
      </c>
      <c r="I1574" s="2">
        <v>0</v>
      </c>
      <c r="J1574" s="2">
        <v>0</v>
      </c>
      <c r="K1574" s="2" t="s">
        <v>865</v>
      </c>
      <c r="L1574" s="43" t="s">
        <v>3687</v>
      </c>
      <c r="P1574" s="41">
        <v>5</v>
      </c>
      <c r="Q1574" s="41">
        <v>9</v>
      </c>
      <c r="R1574" s="41" t="s">
        <v>1547</v>
      </c>
      <c r="S1574" t="s">
        <v>3321</v>
      </c>
      <c r="V1574" t="s">
        <v>3570</v>
      </c>
      <c r="AH1574" t="s">
        <v>359</v>
      </c>
    </row>
    <row r="1575" spans="1:34" ht="15.75">
      <c r="A1575" s="29">
        <f t="shared" si="24"/>
        <v>0</v>
      </c>
      <c r="B1575" s="2">
        <v>649</v>
      </c>
      <c r="C1575" s="2">
        <v>9</v>
      </c>
      <c r="D1575" s="2">
        <v>1817</v>
      </c>
      <c r="E1575">
        <v>6508</v>
      </c>
      <c r="G1575" s="1"/>
      <c r="H1575" s="9" t="s">
        <v>850</v>
      </c>
      <c r="I1575" s="2">
        <v>0</v>
      </c>
      <c r="J1575" s="2">
        <v>0</v>
      </c>
      <c r="K1575" s="2" t="s">
        <v>865</v>
      </c>
      <c r="L1575" s="43" t="s">
        <v>1403</v>
      </c>
      <c r="P1575" s="41">
        <v>15</v>
      </c>
      <c r="Q1575" s="41">
        <v>8</v>
      </c>
      <c r="R1575" s="41">
        <v>64</v>
      </c>
      <c r="S1575" t="s">
        <v>3321</v>
      </c>
      <c r="V1575" t="s">
        <v>673</v>
      </c>
      <c r="AH1575" t="s">
        <v>359</v>
      </c>
    </row>
    <row r="1576" spans="1:34" ht="15.75">
      <c r="A1576" s="39">
        <f t="shared" si="24"/>
        <v>80</v>
      </c>
      <c r="B1576" s="2">
        <v>650</v>
      </c>
      <c r="C1576" s="2">
        <v>9</v>
      </c>
      <c r="D1576" s="2">
        <v>1817</v>
      </c>
      <c r="E1576">
        <v>6532</v>
      </c>
      <c r="G1576" s="1"/>
      <c r="H1576" t="s">
        <v>1541</v>
      </c>
      <c r="I1576" s="2">
        <v>80</v>
      </c>
      <c r="J1576" s="2">
        <v>0</v>
      </c>
      <c r="K1576" s="2" t="s">
        <v>865</v>
      </c>
      <c r="L1576" s="43" t="s">
        <v>1476</v>
      </c>
      <c r="P1576" s="41">
        <v>8</v>
      </c>
      <c r="Q1576" s="41">
        <v>9</v>
      </c>
      <c r="R1576" s="41">
        <v>40</v>
      </c>
      <c r="S1576" t="s">
        <v>3343</v>
      </c>
      <c r="AH1576" t="s">
        <v>359</v>
      </c>
    </row>
    <row r="1577" spans="1:34" ht="15.75">
      <c r="A1577" s="29">
        <f t="shared" si="24"/>
        <v>1835</v>
      </c>
      <c r="B1577" s="2">
        <v>650</v>
      </c>
      <c r="C1577" s="2">
        <v>9</v>
      </c>
      <c r="D1577" s="2">
        <v>1817</v>
      </c>
      <c r="E1577">
        <v>6533</v>
      </c>
      <c r="G1577" s="1"/>
      <c r="H1577" t="s">
        <v>1541</v>
      </c>
      <c r="I1577" s="2">
        <f>1595+240</f>
        <v>1835</v>
      </c>
      <c r="J1577" s="2">
        <v>0</v>
      </c>
      <c r="K1577" s="2" t="s">
        <v>865</v>
      </c>
      <c r="L1577" s="43" t="s">
        <v>1410</v>
      </c>
      <c r="P1577" s="41">
        <v>30</v>
      </c>
      <c r="Q1577" s="41">
        <v>7</v>
      </c>
      <c r="R1577" s="41" t="s">
        <v>1547</v>
      </c>
      <c r="S1577" t="s">
        <v>1547</v>
      </c>
      <c r="T1577" t="s">
        <v>674</v>
      </c>
      <c r="AH1577" t="s">
        <v>359</v>
      </c>
    </row>
    <row r="1578" spans="1:34" ht="15.75">
      <c r="A1578" s="29">
        <f t="shared" si="24"/>
        <v>104456</v>
      </c>
      <c r="B1578" s="8">
        <v>650</v>
      </c>
      <c r="C1578" s="8">
        <v>9</v>
      </c>
      <c r="D1578" s="2">
        <v>1817</v>
      </c>
      <c r="E1578">
        <v>6534</v>
      </c>
      <c r="F1578" s="9"/>
      <c r="G1578" s="7"/>
      <c r="H1578" s="9" t="s">
        <v>1541</v>
      </c>
      <c r="I1578" s="8">
        <v>104456</v>
      </c>
      <c r="J1578" s="8">
        <v>0</v>
      </c>
      <c r="K1578" s="2" t="s">
        <v>865</v>
      </c>
      <c r="L1578" s="43" t="s">
        <v>675</v>
      </c>
      <c r="M1578" s="41" t="s">
        <v>677</v>
      </c>
      <c r="N1578" s="41" t="s">
        <v>1555</v>
      </c>
      <c r="O1578" s="41" t="s">
        <v>678</v>
      </c>
      <c r="P1578" s="41">
        <v>7</v>
      </c>
      <c r="Q1578" s="41">
        <v>4</v>
      </c>
      <c r="R1578" s="41">
        <v>70</v>
      </c>
      <c r="S1578" t="s">
        <v>676</v>
      </c>
      <c r="T1578" t="s">
        <v>4040</v>
      </c>
      <c r="V1578" t="s">
        <v>679</v>
      </c>
      <c r="AH1578" t="s">
        <v>359</v>
      </c>
    </row>
    <row r="1579" spans="1:34" ht="15.75">
      <c r="A1579" s="29">
        <f t="shared" si="24"/>
        <v>2774</v>
      </c>
      <c r="B1579" s="8">
        <v>650</v>
      </c>
      <c r="C1579" s="8">
        <v>9</v>
      </c>
      <c r="D1579" s="8">
        <v>1817</v>
      </c>
      <c r="E1579">
        <v>6535</v>
      </c>
      <c r="F1579" s="9"/>
      <c r="G1579" s="7"/>
      <c r="H1579" s="9" t="s">
        <v>1541</v>
      </c>
      <c r="I1579" s="8">
        <v>2774</v>
      </c>
      <c r="J1579" s="8">
        <v>0</v>
      </c>
      <c r="K1579" s="2" t="s">
        <v>865</v>
      </c>
      <c r="L1579" s="43" t="s">
        <v>1420</v>
      </c>
      <c r="P1579" s="41">
        <v>8</v>
      </c>
      <c r="Q1579" s="41">
        <v>6</v>
      </c>
      <c r="R1579" s="41">
        <v>67</v>
      </c>
      <c r="S1579" t="s">
        <v>3329</v>
      </c>
      <c r="AH1579" t="s">
        <v>359</v>
      </c>
    </row>
    <row r="1580" spans="1:34" ht="15.75">
      <c r="A1580" s="29">
        <f t="shared" si="24"/>
        <v>2645</v>
      </c>
      <c r="B1580" s="8">
        <v>650</v>
      </c>
      <c r="C1580" s="8">
        <v>9</v>
      </c>
      <c r="D1580" s="8">
        <v>1817</v>
      </c>
      <c r="E1580">
        <v>6536</v>
      </c>
      <c r="F1580" s="9"/>
      <c r="G1580" s="7"/>
      <c r="H1580" s="9" t="s">
        <v>1541</v>
      </c>
      <c r="I1580" s="8">
        <v>2645</v>
      </c>
      <c r="J1580" s="8">
        <v>0</v>
      </c>
      <c r="K1580" s="2" t="s">
        <v>865</v>
      </c>
      <c r="L1580" s="43" t="s">
        <v>1421</v>
      </c>
      <c r="P1580" s="41">
        <v>10</v>
      </c>
      <c r="Q1580" s="41">
        <v>5</v>
      </c>
      <c r="R1580" s="41">
        <v>37</v>
      </c>
      <c r="S1580" t="s">
        <v>3321</v>
      </c>
      <c r="AH1580" t="s">
        <v>359</v>
      </c>
    </row>
    <row r="1581" spans="1:34" ht="15.75">
      <c r="A1581" s="29">
        <f t="shared" si="24"/>
        <v>15</v>
      </c>
      <c r="B1581" s="8">
        <v>650</v>
      </c>
      <c r="C1581" s="8">
        <v>9</v>
      </c>
      <c r="D1581" s="2">
        <v>1817</v>
      </c>
      <c r="E1581">
        <v>6537</v>
      </c>
      <c r="F1581" s="9"/>
      <c r="G1581" s="7"/>
      <c r="H1581" s="9" t="s">
        <v>1540</v>
      </c>
      <c r="I1581" s="8">
        <v>15</v>
      </c>
      <c r="J1581" s="8">
        <v>0</v>
      </c>
      <c r="K1581" s="2" t="s">
        <v>865</v>
      </c>
      <c r="L1581" s="43" t="s">
        <v>3690</v>
      </c>
      <c r="P1581" s="41">
        <v>23</v>
      </c>
      <c r="Q1581" s="41">
        <v>3</v>
      </c>
      <c r="R1581" s="41">
        <v>66</v>
      </c>
      <c r="S1581" t="s">
        <v>3321</v>
      </c>
      <c r="AH1581" t="s">
        <v>359</v>
      </c>
    </row>
    <row r="1582" spans="1:34" ht="15.75">
      <c r="A1582" s="29">
        <f t="shared" si="24"/>
        <v>54335</v>
      </c>
      <c r="B1582" s="8">
        <v>650</v>
      </c>
      <c r="C1582" s="8">
        <v>9</v>
      </c>
      <c r="D1582" s="2">
        <v>1817</v>
      </c>
      <c r="E1582">
        <v>6538</v>
      </c>
      <c r="F1582" s="9"/>
      <c r="G1582" s="7"/>
      <c r="H1582" s="9" t="s">
        <v>1540</v>
      </c>
      <c r="I1582" s="8">
        <f>10245+1000+43090</f>
        <v>54335</v>
      </c>
      <c r="J1582" s="8">
        <v>0</v>
      </c>
      <c r="K1582" s="2" t="s">
        <v>865</v>
      </c>
      <c r="L1582" s="43" t="s">
        <v>680</v>
      </c>
      <c r="M1582" s="41" t="s">
        <v>681</v>
      </c>
      <c r="N1582" s="41" t="s">
        <v>851</v>
      </c>
      <c r="O1582" s="41" t="s">
        <v>682</v>
      </c>
      <c r="P1582" s="41">
        <v>3</v>
      </c>
      <c r="Q1582" s="41">
        <v>10</v>
      </c>
      <c r="R1582" s="41">
        <v>68</v>
      </c>
      <c r="S1582" t="s">
        <v>1547</v>
      </c>
      <c r="T1582" t="s">
        <v>683</v>
      </c>
      <c r="V1582" t="s">
        <v>684</v>
      </c>
      <c r="AA1582" t="s">
        <v>5966</v>
      </c>
      <c r="AH1582" t="s">
        <v>359</v>
      </c>
    </row>
    <row r="1583" spans="1:34" ht="15.75">
      <c r="A1583" s="29">
        <f t="shared" si="24"/>
        <v>72</v>
      </c>
      <c r="B1583" s="2">
        <v>650</v>
      </c>
      <c r="C1583" s="2">
        <v>9</v>
      </c>
      <c r="D1583" s="2">
        <v>1817</v>
      </c>
      <c r="E1583">
        <v>6539</v>
      </c>
      <c r="G1583" s="1"/>
      <c r="H1583" t="s">
        <v>1541</v>
      </c>
      <c r="I1583" s="2">
        <v>72</v>
      </c>
      <c r="J1583" s="2">
        <v>0</v>
      </c>
      <c r="K1583" s="2" t="s">
        <v>865</v>
      </c>
      <c r="L1583" s="43" t="s">
        <v>1424</v>
      </c>
      <c r="P1583" s="41">
        <v>8</v>
      </c>
      <c r="Q1583" s="41">
        <v>2</v>
      </c>
      <c r="R1583" s="41">
        <v>48</v>
      </c>
      <c r="S1583" t="s">
        <v>3321</v>
      </c>
      <c r="AH1583" t="s">
        <v>359</v>
      </c>
    </row>
    <row r="1584" spans="1:34" ht="15.75">
      <c r="A1584" s="29">
        <f t="shared" si="24"/>
        <v>2004</v>
      </c>
      <c r="B1584" s="2">
        <v>650</v>
      </c>
      <c r="C1584" s="2">
        <v>9</v>
      </c>
      <c r="D1584" s="2">
        <v>1817</v>
      </c>
      <c r="E1584">
        <v>6540</v>
      </c>
      <c r="G1584" s="1"/>
      <c r="H1584" t="s">
        <v>1540</v>
      </c>
      <c r="I1584" s="2">
        <v>2004</v>
      </c>
      <c r="J1584" s="2">
        <v>0</v>
      </c>
      <c r="K1584" s="2" t="s">
        <v>865</v>
      </c>
      <c r="L1584" s="43" t="s">
        <v>1424</v>
      </c>
      <c r="P1584" s="41">
        <v>11</v>
      </c>
      <c r="Q1584" s="41">
        <v>2</v>
      </c>
      <c r="R1584" s="41">
        <v>55</v>
      </c>
      <c r="S1584" t="s">
        <v>3321</v>
      </c>
      <c r="AH1584" t="s">
        <v>359</v>
      </c>
    </row>
    <row r="1585" spans="1:34" ht="15.75">
      <c r="A1585" s="29">
        <f t="shared" si="24"/>
        <v>4776</v>
      </c>
      <c r="B1585" s="2">
        <v>650</v>
      </c>
      <c r="C1585" s="2">
        <v>9</v>
      </c>
      <c r="D1585" s="2">
        <v>1817</v>
      </c>
      <c r="E1585">
        <v>6541</v>
      </c>
      <c r="G1585" s="1"/>
      <c r="H1585" t="s">
        <v>1541</v>
      </c>
      <c r="I1585" s="2">
        <v>4776</v>
      </c>
      <c r="J1585" s="2">
        <v>0</v>
      </c>
      <c r="K1585" s="2" t="s">
        <v>865</v>
      </c>
      <c r="L1585" s="43" t="s">
        <v>1429</v>
      </c>
      <c r="P1585" s="41">
        <v>5</v>
      </c>
      <c r="Q1585" s="41">
        <v>8</v>
      </c>
      <c r="R1585" s="41" t="s">
        <v>1547</v>
      </c>
      <c r="S1585" t="s">
        <v>3321</v>
      </c>
      <c r="U1585" t="s">
        <v>685</v>
      </c>
      <c r="AH1585" t="s">
        <v>359</v>
      </c>
    </row>
    <row r="1586" spans="1:34" ht="15.75">
      <c r="A1586" s="29">
        <f t="shared" si="24"/>
        <v>4460</v>
      </c>
      <c r="B1586" s="2">
        <v>650</v>
      </c>
      <c r="C1586" s="2">
        <v>9</v>
      </c>
      <c r="D1586" s="2">
        <v>1817</v>
      </c>
      <c r="E1586">
        <v>6542</v>
      </c>
      <c r="G1586" s="1"/>
      <c r="H1586" t="s">
        <v>1541</v>
      </c>
      <c r="I1586" s="2">
        <f>3929+531</f>
        <v>4460</v>
      </c>
      <c r="J1586" s="2">
        <v>0</v>
      </c>
      <c r="K1586" s="2" t="s">
        <v>865</v>
      </c>
      <c r="L1586" s="43" t="s">
        <v>1429</v>
      </c>
      <c r="P1586" s="41">
        <v>12</v>
      </c>
      <c r="Q1586" s="41">
        <v>12</v>
      </c>
      <c r="R1586" s="41" t="s">
        <v>1547</v>
      </c>
      <c r="S1586" t="s">
        <v>3343</v>
      </c>
      <c r="AH1586" t="s">
        <v>359</v>
      </c>
    </row>
    <row r="1587" spans="1:34" ht="15.75">
      <c r="A1587" s="29">
        <f t="shared" si="24"/>
        <v>4375</v>
      </c>
      <c r="B1587" s="2">
        <v>650</v>
      </c>
      <c r="C1587" s="2">
        <v>9</v>
      </c>
      <c r="D1587" s="2">
        <v>1817</v>
      </c>
      <c r="E1587">
        <v>6543</v>
      </c>
      <c r="G1587" s="1"/>
      <c r="H1587" t="s">
        <v>1541</v>
      </c>
      <c r="I1587" s="2">
        <v>4375</v>
      </c>
      <c r="J1587" s="2">
        <v>0</v>
      </c>
      <c r="K1587" s="2" t="s">
        <v>865</v>
      </c>
      <c r="L1587" s="43" t="s">
        <v>1436</v>
      </c>
      <c r="P1587" s="41">
        <v>1</v>
      </c>
      <c r="Q1587" s="41">
        <v>2</v>
      </c>
      <c r="R1587" s="41">
        <v>73</v>
      </c>
      <c r="S1587" t="s">
        <v>3321</v>
      </c>
      <c r="AH1587" t="s">
        <v>359</v>
      </c>
    </row>
    <row r="1588" spans="1:34" ht="15.75">
      <c r="A1588" s="29">
        <f t="shared" si="24"/>
        <v>66</v>
      </c>
      <c r="B1588" s="2">
        <v>650</v>
      </c>
      <c r="C1588" s="2">
        <v>9</v>
      </c>
      <c r="D1588" s="2">
        <v>1817</v>
      </c>
      <c r="E1588">
        <v>6544</v>
      </c>
      <c r="G1588" s="1"/>
      <c r="H1588" t="s">
        <v>1540</v>
      </c>
      <c r="I1588" s="2">
        <v>66</v>
      </c>
      <c r="J1588" s="2">
        <v>0</v>
      </c>
      <c r="K1588" s="2" t="s">
        <v>865</v>
      </c>
      <c r="L1588" s="43" t="s">
        <v>1436</v>
      </c>
      <c r="P1588" s="41">
        <v>8</v>
      </c>
      <c r="Q1588" s="41">
        <v>8</v>
      </c>
      <c r="R1588" s="41">
        <v>56</v>
      </c>
      <c r="S1588" t="s">
        <v>3321</v>
      </c>
      <c r="AH1588" t="s">
        <v>359</v>
      </c>
    </row>
    <row r="1589" spans="1:34" ht="15.75">
      <c r="A1589" s="29">
        <f t="shared" si="24"/>
        <v>62</v>
      </c>
      <c r="B1589" s="2">
        <v>650</v>
      </c>
      <c r="C1589" s="2">
        <v>9</v>
      </c>
      <c r="D1589" s="2">
        <v>1817</v>
      </c>
      <c r="E1589">
        <v>6545</v>
      </c>
      <c r="G1589" s="1"/>
      <c r="H1589" t="s">
        <v>1540</v>
      </c>
      <c r="I1589" s="2">
        <v>62</v>
      </c>
      <c r="J1589" s="2">
        <v>0</v>
      </c>
      <c r="K1589" s="2" t="s">
        <v>865</v>
      </c>
      <c r="L1589" s="43" t="s">
        <v>686</v>
      </c>
      <c r="P1589" s="41">
        <v>20</v>
      </c>
      <c r="Q1589" s="41">
        <v>6</v>
      </c>
      <c r="R1589" s="41">
        <v>48</v>
      </c>
      <c r="S1589" t="s">
        <v>3321</v>
      </c>
      <c r="AH1589" t="s">
        <v>359</v>
      </c>
    </row>
    <row r="1590" spans="1:34" ht="15.75">
      <c r="A1590" s="29">
        <f t="shared" si="24"/>
        <v>9840</v>
      </c>
      <c r="B1590" s="2">
        <v>650</v>
      </c>
      <c r="C1590" s="2">
        <v>9</v>
      </c>
      <c r="D1590" s="2">
        <v>1817</v>
      </c>
      <c r="E1590">
        <v>6546</v>
      </c>
      <c r="G1590" s="1"/>
      <c r="H1590" t="s">
        <v>1540</v>
      </c>
      <c r="I1590" s="2">
        <v>9840</v>
      </c>
      <c r="J1590" s="2">
        <v>0</v>
      </c>
      <c r="K1590" s="2" t="s">
        <v>865</v>
      </c>
      <c r="L1590" s="43" t="s">
        <v>1438</v>
      </c>
      <c r="P1590" s="41">
        <v>11</v>
      </c>
      <c r="Q1590" s="41">
        <v>8</v>
      </c>
      <c r="R1590" s="41">
        <v>69</v>
      </c>
      <c r="S1590" t="s">
        <v>3321</v>
      </c>
      <c r="AH1590" t="s">
        <v>359</v>
      </c>
    </row>
    <row r="1591" spans="1:34" ht="15.75">
      <c r="A1591" s="29">
        <f t="shared" si="24"/>
        <v>0</v>
      </c>
      <c r="B1591" s="2">
        <v>650</v>
      </c>
      <c r="C1591" s="2">
        <v>9</v>
      </c>
      <c r="D1591" s="2">
        <v>1817</v>
      </c>
      <c r="E1591">
        <v>6547</v>
      </c>
      <c r="G1591" s="1"/>
      <c r="H1591" t="s">
        <v>850</v>
      </c>
      <c r="I1591" s="2">
        <v>0</v>
      </c>
      <c r="J1591" s="2">
        <v>0</v>
      </c>
      <c r="K1591" s="2" t="s">
        <v>865</v>
      </c>
      <c r="L1591" s="43" t="s">
        <v>1420</v>
      </c>
      <c r="P1591" s="41">
        <v>22</v>
      </c>
      <c r="Q1591" s="41">
        <v>5</v>
      </c>
      <c r="R1591" s="41">
        <v>53</v>
      </c>
      <c r="S1591" t="s">
        <v>1547</v>
      </c>
      <c r="U1591" t="s">
        <v>3635</v>
      </c>
      <c r="V1591" t="s">
        <v>687</v>
      </c>
      <c r="AH1591" t="s">
        <v>359</v>
      </c>
    </row>
    <row r="1592" spans="1:34" ht="15.75">
      <c r="A1592" s="29">
        <f t="shared" si="24"/>
        <v>2466</v>
      </c>
      <c r="B1592" s="8">
        <v>651</v>
      </c>
      <c r="C1592" s="8">
        <v>9</v>
      </c>
      <c r="D1592" s="8">
        <v>1817</v>
      </c>
      <c r="E1592">
        <v>6582</v>
      </c>
      <c r="F1592" s="9"/>
      <c r="G1592" s="9"/>
      <c r="H1592" s="8" t="s">
        <v>1541</v>
      </c>
      <c r="I1592" s="8">
        <v>2466</v>
      </c>
      <c r="J1592" s="8">
        <v>0</v>
      </c>
      <c r="K1592" s="2" t="s">
        <v>865</v>
      </c>
      <c r="L1592" s="43" t="s">
        <v>1440</v>
      </c>
      <c r="M1592" s="43"/>
      <c r="N1592" s="43"/>
      <c r="O1592" s="43"/>
      <c r="P1592" s="41">
        <v>6</v>
      </c>
      <c r="Q1592" s="41">
        <v>6</v>
      </c>
      <c r="R1592" s="41">
        <v>65</v>
      </c>
      <c r="S1592" t="s">
        <v>3321</v>
      </c>
      <c r="AH1592" t="s">
        <v>359</v>
      </c>
    </row>
    <row r="1593" spans="1:34" ht="15.75">
      <c r="A1593" s="29">
        <f t="shared" si="24"/>
        <v>296</v>
      </c>
      <c r="B1593" s="8">
        <v>651</v>
      </c>
      <c r="C1593" s="8">
        <v>9</v>
      </c>
      <c r="D1593" s="2">
        <v>1817</v>
      </c>
      <c r="E1593">
        <v>6583</v>
      </c>
      <c r="F1593" s="9"/>
      <c r="G1593" s="9"/>
      <c r="H1593" s="8" t="s">
        <v>1540</v>
      </c>
      <c r="I1593" s="8">
        <v>296</v>
      </c>
      <c r="J1593" s="8">
        <v>0</v>
      </c>
      <c r="K1593" s="2" t="s">
        <v>865</v>
      </c>
      <c r="L1593" s="43" t="s">
        <v>1440</v>
      </c>
      <c r="M1593" s="43"/>
      <c r="N1593" s="43"/>
      <c r="O1593" s="43"/>
      <c r="P1593" s="41">
        <v>7</v>
      </c>
      <c r="Q1593" s="41">
        <v>10</v>
      </c>
      <c r="R1593" s="41">
        <v>52</v>
      </c>
      <c r="S1593" t="s">
        <v>3321</v>
      </c>
      <c r="AH1593" t="s">
        <v>359</v>
      </c>
    </row>
    <row r="1594" spans="1:34" ht="15.75">
      <c r="A1594" s="39">
        <f t="shared" si="24"/>
        <v>101</v>
      </c>
      <c r="B1594" s="8">
        <v>651</v>
      </c>
      <c r="C1594" s="8">
        <v>9</v>
      </c>
      <c r="D1594" s="2">
        <v>1817</v>
      </c>
      <c r="E1594">
        <v>6584</v>
      </c>
      <c r="F1594" s="9"/>
      <c r="G1594" s="9"/>
      <c r="H1594" s="8" t="s">
        <v>1541</v>
      </c>
      <c r="I1594" s="8">
        <v>101</v>
      </c>
      <c r="J1594" s="8">
        <v>0</v>
      </c>
      <c r="K1594" s="2" t="s">
        <v>865</v>
      </c>
      <c r="L1594" s="43" t="s">
        <v>1440</v>
      </c>
      <c r="M1594" s="43"/>
      <c r="N1594" s="43"/>
      <c r="O1594" s="43"/>
      <c r="P1594" s="41">
        <v>5</v>
      </c>
      <c r="Q1594" s="41">
        <v>11</v>
      </c>
      <c r="R1594" s="41">
        <v>28</v>
      </c>
      <c r="S1594" t="s">
        <v>3321</v>
      </c>
      <c r="AH1594" t="s">
        <v>359</v>
      </c>
    </row>
    <row r="1595" spans="1:34" ht="15.75">
      <c r="A1595" s="29">
        <f t="shared" si="24"/>
        <v>94</v>
      </c>
      <c r="B1595" s="8">
        <v>651</v>
      </c>
      <c r="C1595" s="8">
        <v>9</v>
      </c>
      <c r="D1595" s="2">
        <v>1817</v>
      </c>
      <c r="E1595">
        <v>6585</v>
      </c>
      <c r="F1595" s="9"/>
      <c r="G1595" s="9"/>
      <c r="H1595" s="8" t="s">
        <v>1540</v>
      </c>
      <c r="I1595" s="8">
        <v>94</v>
      </c>
      <c r="J1595" s="8">
        <v>0</v>
      </c>
      <c r="K1595" s="2" t="s">
        <v>865</v>
      </c>
      <c r="L1595" s="43" t="s">
        <v>5973</v>
      </c>
      <c r="M1595" s="43"/>
      <c r="N1595" s="43"/>
      <c r="O1595" s="43"/>
      <c r="P1595" s="41">
        <v>11</v>
      </c>
      <c r="Q1595" s="41">
        <v>4</v>
      </c>
      <c r="R1595" s="41">
        <v>33</v>
      </c>
      <c r="S1595" t="s">
        <v>3321</v>
      </c>
      <c r="AH1595" t="s">
        <v>359</v>
      </c>
    </row>
    <row r="1596" spans="1:34" ht="15.75">
      <c r="A1596" s="29">
        <f t="shared" si="24"/>
        <v>1810</v>
      </c>
      <c r="B1596" s="8">
        <v>651</v>
      </c>
      <c r="C1596" s="8">
        <v>9</v>
      </c>
      <c r="D1596" s="2">
        <v>1817</v>
      </c>
      <c r="E1596">
        <v>6586</v>
      </c>
      <c r="F1596" s="9"/>
      <c r="G1596" s="9"/>
      <c r="H1596" s="8" t="s">
        <v>1540</v>
      </c>
      <c r="I1596" s="8">
        <v>1810</v>
      </c>
      <c r="J1596" s="8">
        <v>0</v>
      </c>
      <c r="K1596" s="2" t="s">
        <v>865</v>
      </c>
      <c r="L1596" s="43" t="s">
        <v>5980</v>
      </c>
      <c r="M1596" s="43"/>
      <c r="N1596" s="43"/>
      <c r="O1596" s="43"/>
      <c r="P1596" s="41">
        <v>11</v>
      </c>
      <c r="Q1596" s="41">
        <v>4</v>
      </c>
      <c r="R1596" s="41">
        <v>56</v>
      </c>
      <c r="S1596" t="s">
        <v>3324</v>
      </c>
      <c r="AH1596" t="s">
        <v>359</v>
      </c>
    </row>
    <row r="1597" spans="1:34" ht="15.75">
      <c r="A1597" s="29">
        <f t="shared" si="24"/>
        <v>34000</v>
      </c>
      <c r="B1597" s="8">
        <v>651</v>
      </c>
      <c r="C1597" s="8">
        <v>9</v>
      </c>
      <c r="D1597" s="2">
        <v>1817</v>
      </c>
      <c r="E1597">
        <v>6587</v>
      </c>
      <c r="F1597" s="9"/>
      <c r="G1597" s="9"/>
      <c r="H1597" s="8" t="s">
        <v>1541</v>
      </c>
      <c r="I1597" s="8">
        <v>34000</v>
      </c>
      <c r="J1597" s="8">
        <v>0</v>
      </c>
      <c r="K1597" s="2" t="s">
        <v>865</v>
      </c>
      <c r="L1597" s="43" t="s">
        <v>692</v>
      </c>
      <c r="M1597" s="43" t="s">
        <v>694</v>
      </c>
      <c r="N1597" s="43"/>
      <c r="O1597" s="43" t="s">
        <v>695</v>
      </c>
      <c r="P1597" s="41">
        <v>9</v>
      </c>
      <c r="Q1597" s="41">
        <v>5</v>
      </c>
      <c r="R1597" s="41">
        <v>22</v>
      </c>
      <c r="S1597" t="s">
        <v>693</v>
      </c>
      <c r="T1597" t="s">
        <v>696</v>
      </c>
      <c r="V1597" t="s">
        <v>5816</v>
      </c>
      <c r="AH1597" t="s">
        <v>359</v>
      </c>
    </row>
    <row r="1598" spans="1:34" ht="15.75">
      <c r="A1598" s="29">
        <f t="shared" si="24"/>
        <v>1272</v>
      </c>
      <c r="B1598" s="2">
        <v>651</v>
      </c>
      <c r="C1598" s="2">
        <v>9</v>
      </c>
      <c r="D1598" s="2">
        <v>1817</v>
      </c>
      <c r="E1598">
        <v>6588</v>
      </c>
      <c r="H1598" s="2" t="s">
        <v>1540</v>
      </c>
      <c r="I1598" s="2">
        <v>1272</v>
      </c>
      <c r="J1598" s="2">
        <v>0</v>
      </c>
      <c r="K1598" s="2" t="s">
        <v>865</v>
      </c>
      <c r="L1598" s="43" t="s">
        <v>5983</v>
      </c>
      <c r="P1598" s="41">
        <v>30</v>
      </c>
      <c r="Q1598" s="41">
        <v>8</v>
      </c>
      <c r="R1598" s="41">
        <v>74</v>
      </c>
      <c r="S1598" t="s">
        <v>3321</v>
      </c>
      <c r="AH1598" t="s">
        <v>359</v>
      </c>
    </row>
    <row r="1599" spans="1:34" ht="15.75">
      <c r="A1599" s="29">
        <f t="shared" si="24"/>
        <v>30</v>
      </c>
      <c r="B1599" s="2">
        <v>651</v>
      </c>
      <c r="C1599" s="2">
        <v>9</v>
      </c>
      <c r="D1599" s="2">
        <v>1817</v>
      </c>
      <c r="E1599">
        <v>6589</v>
      </c>
      <c r="H1599" s="2" t="s">
        <v>1541</v>
      </c>
      <c r="I1599" s="2">
        <v>30</v>
      </c>
      <c r="J1599" s="2">
        <v>0</v>
      </c>
      <c r="K1599" s="2" t="s">
        <v>865</v>
      </c>
      <c r="L1599" s="43" t="s">
        <v>1486</v>
      </c>
      <c r="P1599" s="41">
        <v>30</v>
      </c>
      <c r="Q1599" s="41">
        <v>4</v>
      </c>
      <c r="R1599" s="41">
        <v>61</v>
      </c>
      <c r="S1599" t="s">
        <v>3321</v>
      </c>
      <c r="AH1599" t="s">
        <v>359</v>
      </c>
    </row>
    <row r="1600" spans="1:34" ht="15.75">
      <c r="A1600" s="29">
        <f t="shared" si="24"/>
        <v>102</v>
      </c>
      <c r="B1600" s="2">
        <v>651</v>
      </c>
      <c r="C1600" s="2">
        <v>9</v>
      </c>
      <c r="D1600" s="2">
        <v>1817</v>
      </c>
      <c r="E1600">
        <v>6590</v>
      </c>
      <c r="H1600" s="2" t="s">
        <v>1541</v>
      </c>
      <c r="I1600" s="2">
        <v>102</v>
      </c>
      <c r="J1600" s="2">
        <v>0</v>
      </c>
      <c r="K1600" s="2" t="s">
        <v>865</v>
      </c>
      <c r="L1600" s="43" t="s">
        <v>1486</v>
      </c>
      <c r="P1600" s="41">
        <v>17</v>
      </c>
      <c r="Q1600" s="41">
        <v>9</v>
      </c>
      <c r="R1600" s="41">
        <v>69</v>
      </c>
      <c r="S1600" t="s">
        <v>3329</v>
      </c>
      <c r="AH1600" t="s">
        <v>359</v>
      </c>
    </row>
    <row r="1601" spans="1:34" ht="15.75">
      <c r="A1601" s="29">
        <f t="shared" si="24"/>
        <v>617</v>
      </c>
      <c r="B1601" s="2">
        <v>651</v>
      </c>
      <c r="C1601" s="2">
        <v>9</v>
      </c>
      <c r="D1601" s="2">
        <v>1817</v>
      </c>
      <c r="E1601">
        <v>6591</v>
      </c>
      <c r="H1601" s="2" t="s">
        <v>1541</v>
      </c>
      <c r="I1601" s="2">
        <v>617</v>
      </c>
      <c r="J1601" s="2">
        <v>0</v>
      </c>
      <c r="K1601" s="2" t="s">
        <v>865</v>
      </c>
      <c r="L1601" s="43" t="s">
        <v>1486</v>
      </c>
      <c r="P1601" s="41">
        <v>12</v>
      </c>
      <c r="Q1601" s="41">
        <v>7</v>
      </c>
      <c r="R1601" s="41">
        <v>45</v>
      </c>
      <c r="S1601" t="s">
        <v>1547</v>
      </c>
      <c r="AH1601" t="s">
        <v>359</v>
      </c>
    </row>
    <row r="1602" spans="1:34" ht="15.75">
      <c r="A1602" s="29">
        <f aca="true" t="shared" si="25" ref="A1602:A1665">I1602+J1602*20*X1602</f>
        <v>4678</v>
      </c>
      <c r="B1602" s="2">
        <v>652</v>
      </c>
      <c r="C1602" s="2">
        <v>9</v>
      </c>
      <c r="D1602" s="2">
        <v>1817</v>
      </c>
      <c r="E1602">
        <v>6608</v>
      </c>
      <c r="G1602" s="1"/>
      <c r="H1602" s="1" t="s">
        <v>1541</v>
      </c>
      <c r="I1602" s="2">
        <f>300+3178+1200</f>
        <v>4678</v>
      </c>
      <c r="J1602" s="2">
        <v>0</v>
      </c>
      <c r="K1602" s="2" t="s">
        <v>865</v>
      </c>
      <c r="L1602" s="43" t="s">
        <v>1482</v>
      </c>
      <c r="P1602" s="41">
        <v>21</v>
      </c>
      <c r="Q1602" s="41">
        <v>3</v>
      </c>
      <c r="R1602" s="41">
        <v>45</v>
      </c>
      <c r="S1602" t="s">
        <v>3321</v>
      </c>
      <c r="AH1602" t="s">
        <v>359</v>
      </c>
    </row>
    <row r="1603" spans="1:34" ht="15.75">
      <c r="A1603" s="29">
        <f t="shared" si="25"/>
        <v>497</v>
      </c>
      <c r="B1603" s="2">
        <v>652</v>
      </c>
      <c r="C1603" s="2">
        <v>9</v>
      </c>
      <c r="D1603" s="2">
        <v>1817</v>
      </c>
      <c r="E1603">
        <v>6609</v>
      </c>
      <c r="G1603" s="1"/>
      <c r="H1603" s="1" t="s">
        <v>1540</v>
      </c>
      <c r="I1603" s="2">
        <v>497</v>
      </c>
      <c r="J1603" s="2">
        <v>0</v>
      </c>
      <c r="K1603" s="2" t="s">
        <v>865</v>
      </c>
      <c r="L1603" s="43" t="s">
        <v>1482</v>
      </c>
      <c r="P1603" s="41">
        <v>16</v>
      </c>
      <c r="Q1603" s="41">
        <v>4</v>
      </c>
      <c r="R1603" s="41">
        <v>24</v>
      </c>
      <c r="S1603" t="s">
        <v>3321</v>
      </c>
      <c r="AH1603" t="s">
        <v>359</v>
      </c>
    </row>
    <row r="1604" spans="1:34" ht="15.75">
      <c r="A1604" s="29">
        <f t="shared" si="25"/>
        <v>98</v>
      </c>
      <c r="B1604" s="2">
        <v>652</v>
      </c>
      <c r="C1604" s="2">
        <v>9</v>
      </c>
      <c r="D1604" s="2">
        <v>1817</v>
      </c>
      <c r="E1604">
        <v>6610</v>
      </c>
      <c r="G1604" s="1"/>
      <c r="H1604" s="1" t="s">
        <v>1541</v>
      </c>
      <c r="I1604" s="2">
        <v>98</v>
      </c>
      <c r="J1604" s="2">
        <v>0</v>
      </c>
      <c r="K1604" s="2" t="s">
        <v>865</v>
      </c>
      <c r="L1604" s="43" t="s">
        <v>1482</v>
      </c>
      <c r="P1604" s="41">
        <v>22</v>
      </c>
      <c r="Q1604" s="41">
        <v>6</v>
      </c>
      <c r="R1604" s="41">
        <v>63</v>
      </c>
      <c r="S1604" t="s">
        <v>3329</v>
      </c>
      <c r="AH1604" t="s">
        <v>359</v>
      </c>
    </row>
    <row r="1605" spans="1:34" ht="15.75">
      <c r="A1605" s="29">
        <f t="shared" si="25"/>
        <v>13000</v>
      </c>
      <c r="B1605" s="2">
        <v>652</v>
      </c>
      <c r="C1605" s="2">
        <v>9</v>
      </c>
      <c r="D1605" s="2">
        <v>1817</v>
      </c>
      <c r="E1605">
        <v>6611</v>
      </c>
      <c r="G1605" s="1"/>
      <c r="H1605" s="1" t="s">
        <v>1541</v>
      </c>
      <c r="I1605" s="2">
        <v>13000</v>
      </c>
      <c r="J1605" s="2">
        <v>0</v>
      </c>
      <c r="K1605" s="2" t="s">
        <v>865</v>
      </c>
      <c r="L1605" s="43" t="s">
        <v>1482</v>
      </c>
      <c r="P1605" s="41">
        <v>4</v>
      </c>
      <c r="Q1605" s="41">
        <v>7</v>
      </c>
      <c r="R1605" s="41">
        <v>30</v>
      </c>
      <c r="S1605" t="s">
        <v>3321</v>
      </c>
      <c r="AH1605" t="s">
        <v>359</v>
      </c>
    </row>
    <row r="1606" spans="1:34" ht="15.75">
      <c r="A1606" s="29">
        <f t="shared" si="25"/>
        <v>534</v>
      </c>
      <c r="B1606" s="2">
        <v>652</v>
      </c>
      <c r="C1606" s="2">
        <v>9</v>
      </c>
      <c r="D1606" s="2">
        <v>1817</v>
      </c>
      <c r="E1606">
        <v>6612</v>
      </c>
      <c r="G1606" s="1"/>
      <c r="H1606" s="1" t="s">
        <v>1540</v>
      </c>
      <c r="I1606" s="2">
        <v>534</v>
      </c>
      <c r="J1606" s="2">
        <v>0</v>
      </c>
      <c r="K1606" s="2" t="s">
        <v>865</v>
      </c>
      <c r="L1606" s="43" t="s">
        <v>1482</v>
      </c>
      <c r="P1606" s="41">
        <v>13</v>
      </c>
      <c r="Q1606" s="41">
        <v>4</v>
      </c>
      <c r="R1606" s="41">
        <v>34</v>
      </c>
      <c r="S1606" t="s">
        <v>3321</v>
      </c>
      <c r="AH1606" t="s">
        <v>359</v>
      </c>
    </row>
    <row r="1607" spans="1:34" ht="15.75">
      <c r="A1607" s="29">
        <f t="shared" si="25"/>
        <v>38</v>
      </c>
      <c r="B1607" s="2">
        <v>652</v>
      </c>
      <c r="C1607" s="2">
        <v>9</v>
      </c>
      <c r="D1607" s="2">
        <v>1817</v>
      </c>
      <c r="E1607">
        <v>6613</v>
      </c>
      <c r="G1607" s="1"/>
      <c r="H1607" s="1" t="s">
        <v>850</v>
      </c>
      <c r="I1607" s="2">
        <v>38</v>
      </c>
      <c r="J1607" s="2">
        <v>0</v>
      </c>
      <c r="K1607" s="2" t="s">
        <v>865</v>
      </c>
      <c r="L1607" s="43" t="s">
        <v>1482</v>
      </c>
      <c r="P1607" s="41">
        <v>16</v>
      </c>
      <c r="Q1607" s="41">
        <v>10</v>
      </c>
      <c r="R1607" s="41">
        <v>52</v>
      </c>
      <c r="S1607" t="s">
        <v>3321</v>
      </c>
      <c r="AH1607" t="s">
        <v>359</v>
      </c>
    </row>
    <row r="1608" spans="1:34" ht="15.75">
      <c r="A1608" s="29">
        <f t="shared" si="25"/>
        <v>9146</v>
      </c>
      <c r="B1608" s="2">
        <v>652</v>
      </c>
      <c r="C1608" s="2">
        <v>9</v>
      </c>
      <c r="D1608" s="2">
        <v>1817</v>
      </c>
      <c r="E1608">
        <v>6614</v>
      </c>
      <c r="G1608" s="1"/>
      <c r="H1608" s="1" t="s">
        <v>1541</v>
      </c>
      <c r="I1608" s="2">
        <v>9146</v>
      </c>
      <c r="J1608" s="2">
        <v>0</v>
      </c>
      <c r="K1608" s="2" t="s">
        <v>865</v>
      </c>
      <c r="L1608" s="43" t="s">
        <v>1448</v>
      </c>
      <c r="P1608" s="41">
        <v>7</v>
      </c>
      <c r="Q1608" s="41">
        <v>3</v>
      </c>
      <c r="R1608" s="41">
        <v>76</v>
      </c>
      <c r="S1608" t="s">
        <v>3343</v>
      </c>
      <c r="AH1608" t="s">
        <v>359</v>
      </c>
    </row>
    <row r="1609" spans="1:34" ht="15.75">
      <c r="A1609" s="29">
        <f t="shared" si="25"/>
        <v>22571</v>
      </c>
      <c r="B1609" s="8">
        <v>652</v>
      </c>
      <c r="C1609" s="2">
        <v>9</v>
      </c>
      <c r="D1609" s="2">
        <v>1817</v>
      </c>
      <c r="E1609">
        <v>6615</v>
      </c>
      <c r="F1609" s="9"/>
      <c r="G1609" s="7"/>
      <c r="H1609" s="7" t="s">
        <v>1540</v>
      </c>
      <c r="I1609" s="8">
        <v>22571</v>
      </c>
      <c r="J1609" s="8">
        <v>0</v>
      </c>
      <c r="K1609" s="2" t="s">
        <v>865</v>
      </c>
      <c r="L1609" s="43" t="s">
        <v>697</v>
      </c>
      <c r="M1609" s="41" t="s">
        <v>4951</v>
      </c>
      <c r="N1609" s="41" t="s">
        <v>4952</v>
      </c>
      <c r="O1609" s="41" t="s">
        <v>4953</v>
      </c>
      <c r="P1609" s="41">
        <v>3</v>
      </c>
      <c r="Q1609" s="41">
        <v>9</v>
      </c>
      <c r="R1609" s="41">
        <v>52</v>
      </c>
      <c r="S1609" t="s">
        <v>3343</v>
      </c>
      <c r="T1609" t="s">
        <v>4954</v>
      </c>
      <c r="V1609" t="s">
        <v>4955</v>
      </c>
      <c r="AH1609" t="s">
        <v>359</v>
      </c>
    </row>
    <row r="1610" spans="1:34" ht="15.75">
      <c r="A1610" s="29">
        <f t="shared" si="25"/>
        <v>322</v>
      </c>
      <c r="B1610" s="2">
        <v>652</v>
      </c>
      <c r="C1610" s="2">
        <v>9</v>
      </c>
      <c r="D1610" s="2">
        <v>1817</v>
      </c>
      <c r="E1610">
        <v>6616</v>
      </c>
      <c r="G1610" s="1"/>
      <c r="H1610" s="1" t="s">
        <v>1540</v>
      </c>
      <c r="I1610" s="2">
        <v>322</v>
      </c>
      <c r="J1610" s="2">
        <v>0</v>
      </c>
      <c r="K1610" s="2" t="s">
        <v>865</v>
      </c>
      <c r="L1610" s="43" t="s">
        <v>1449</v>
      </c>
      <c r="P1610" s="41">
        <v>22</v>
      </c>
      <c r="Q1610" s="41">
        <v>6</v>
      </c>
      <c r="R1610" s="41">
        <v>66</v>
      </c>
      <c r="S1610" t="s">
        <v>3321</v>
      </c>
      <c r="AH1610" t="s">
        <v>359</v>
      </c>
    </row>
    <row r="1611" spans="1:34" ht="15.75">
      <c r="A1611" s="29">
        <f t="shared" si="25"/>
        <v>122</v>
      </c>
      <c r="B1611" s="2">
        <v>652</v>
      </c>
      <c r="C1611" s="2">
        <v>9</v>
      </c>
      <c r="D1611" s="2">
        <v>1817</v>
      </c>
      <c r="E1611">
        <v>6617</v>
      </c>
      <c r="G1611" s="1"/>
      <c r="H1611" s="1" t="s">
        <v>1540</v>
      </c>
      <c r="I1611" s="2">
        <v>122</v>
      </c>
      <c r="J1611" s="2">
        <v>0</v>
      </c>
      <c r="K1611" s="2" t="s">
        <v>865</v>
      </c>
      <c r="L1611" s="43" t="s">
        <v>1449</v>
      </c>
      <c r="P1611" s="41">
        <v>13</v>
      </c>
      <c r="Q1611" s="41">
        <v>4</v>
      </c>
      <c r="R1611" s="41">
        <v>46</v>
      </c>
      <c r="S1611" t="s">
        <v>3321</v>
      </c>
      <c r="AH1611" t="s">
        <v>359</v>
      </c>
    </row>
    <row r="1612" spans="1:34" ht="15.75">
      <c r="A1612" s="29">
        <f t="shared" si="25"/>
        <v>81</v>
      </c>
      <c r="B1612" s="2">
        <v>652</v>
      </c>
      <c r="C1612" s="2">
        <v>9</v>
      </c>
      <c r="D1612" s="2">
        <v>1817</v>
      </c>
      <c r="E1612">
        <v>6618</v>
      </c>
      <c r="G1612" s="1"/>
      <c r="H1612" s="1" t="s">
        <v>1540</v>
      </c>
      <c r="I1612" s="2">
        <v>81</v>
      </c>
      <c r="J1612" s="2">
        <v>0</v>
      </c>
      <c r="K1612" s="2" t="s">
        <v>865</v>
      </c>
      <c r="L1612" s="43" t="s">
        <v>5991</v>
      </c>
      <c r="P1612" s="41">
        <v>11</v>
      </c>
      <c r="Q1612" s="41">
        <v>12</v>
      </c>
      <c r="R1612" s="41">
        <v>46</v>
      </c>
      <c r="S1612" t="s">
        <v>3321</v>
      </c>
      <c r="AH1612" t="s">
        <v>359</v>
      </c>
    </row>
    <row r="1613" spans="1:34" ht="15.75">
      <c r="A1613" s="29">
        <f t="shared" si="25"/>
        <v>159</v>
      </c>
      <c r="B1613" s="2">
        <v>652</v>
      </c>
      <c r="C1613" s="2">
        <v>9</v>
      </c>
      <c r="D1613" s="2">
        <v>1817</v>
      </c>
      <c r="E1613">
        <v>6619</v>
      </c>
      <c r="G1613" s="1"/>
      <c r="H1613" s="1" t="s">
        <v>1540</v>
      </c>
      <c r="I1613" s="2">
        <v>159</v>
      </c>
      <c r="J1613" s="2">
        <v>0</v>
      </c>
      <c r="K1613" s="2" t="s">
        <v>865</v>
      </c>
      <c r="L1613" s="43" t="s">
        <v>1456</v>
      </c>
      <c r="P1613" s="41">
        <v>4</v>
      </c>
      <c r="Q1613" s="41">
        <v>6</v>
      </c>
      <c r="R1613" s="41">
        <v>57</v>
      </c>
      <c r="S1613" t="s">
        <v>3321</v>
      </c>
      <c r="AH1613" t="s">
        <v>359</v>
      </c>
    </row>
    <row r="1614" spans="1:34" ht="15.75">
      <c r="A1614" s="29">
        <f t="shared" si="25"/>
        <v>105122</v>
      </c>
      <c r="B1614" s="8">
        <v>652</v>
      </c>
      <c r="C1614" s="2">
        <v>9</v>
      </c>
      <c r="D1614" s="2">
        <v>1817</v>
      </c>
      <c r="E1614">
        <v>6620</v>
      </c>
      <c r="F1614" s="9"/>
      <c r="G1614" s="7"/>
      <c r="H1614" s="7" t="s">
        <v>1541</v>
      </c>
      <c r="I1614" s="8">
        <v>15122</v>
      </c>
      <c r="J1614" s="8">
        <v>4500</v>
      </c>
      <c r="K1614" s="2" t="s">
        <v>865</v>
      </c>
      <c r="L1614" s="43" t="s">
        <v>4956</v>
      </c>
      <c r="M1614" s="41" t="s">
        <v>4958</v>
      </c>
      <c r="N1614" s="41" t="s">
        <v>1555</v>
      </c>
      <c r="O1614" s="41" t="s">
        <v>4959</v>
      </c>
      <c r="P1614" s="41">
        <v>13</v>
      </c>
      <c r="Q1614" s="41">
        <v>10</v>
      </c>
      <c r="R1614" s="41" t="s">
        <v>1547</v>
      </c>
      <c r="S1614" t="s">
        <v>4957</v>
      </c>
      <c r="T1614" t="s">
        <v>4961</v>
      </c>
      <c r="U1614" t="s">
        <v>4960</v>
      </c>
      <c r="V1614" t="s">
        <v>3942</v>
      </c>
      <c r="X1614">
        <v>1</v>
      </c>
      <c r="Y1614" t="s">
        <v>4959</v>
      </c>
      <c r="AH1614" t="s">
        <v>359</v>
      </c>
    </row>
    <row r="1615" spans="1:34" ht="15.75">
      <c r="A1615" s="29">
        <f t="shared" si="25"/>
        <v>373</v>
      </c>
      <c r="B1615" s="8">
        <v>652</v>
      </c>
      <c r="C1615" s="2">
        <v>9</v>
      </c>
      <c r="D1615" s="2">
        <v>1817</v>
      </c>
      <c r="E1615">
        <v>6621</v>
      </c>
      <c r="F1615" s="9"/>
      <c r="G1615" s="7"/>
      <c r="H1615" s="7" t="s">
        <v>1540</v>
      </c>
      <c r="I1615" s="8">
        <v>373</v>
      </c>
      <c r="J1615" s="8">
        <v>0</v>
      </c>
      <c r="K1615" s="2" t="s">
        <v>865</v>
      </c>
      <c r="L1615" s="43" t="s">
        <v>1456</v>
      </c>
      <c r="P1615" s="41">
        <v>23</v>
      </c>
      <c r="Q1615" s="41">
        <v>7</v>
      </c>
      <c r="R1615" s="41" t="s">
        <v>1547</v>
      </c>
      <c r="S1615" t="s">
        <v>3321</v>
      </c>
      <c r="AH1615" t="s">
        <v>359</v>
      </c>
    </row>
    <row r="1616" spans="1:34" ht="15.75">
      <c r="A1616" s="29">
        <f t="shared" si="25"/>
        <v>12272</v>
      </c>
      <c r="B1616" s="8">
        <v>652</v>
      </c>
      <c r="C1616" s="2">
        <v>9</v>
      </c>
      <c r="D1616" s="2">
        <v>1817</v>
      </c>
      <c r="E1616">
        <v>6623</v>
      </c>
      <c r="F1616" s="9"/>
      <c r="G1616" s="7"/>
      <c r="H1616" s="7" t="s">
        <v>1540</v>
      </c>
      <c r="I1616" s="8">
        <f>2085+3187+5000+2000</f>
        <v>12272</v>
      </c>
      <c r="J1616" s="8">
        <v>0</v>
      </c>
      <c r="K1616" s="2" t="s">
        <v>865</v>
      </c>
      <c r="L1616" s="43" t="s">
        <v>5989</v>
      </c>
      <c r="P1616" s="41">
        <v>22</v>
      </c>
      <c r="Q1616" s="41">
        <v>3</v>
      </c>
      <c r="R1616" s="41">
        <v>66</v>
      </c>
      <c r="S1616" t="s">
        <v>3321</v>
      </c>
      <c r="AH1616" t="s">
        <v>359</v>
      </c>
    </row>
    <row r="1617" spans="1:34" ht="15.75">
      <c r="A1617" s="29">
        <f t="shared" si="25"/>
        <v>1250</v>
      </c>
      <c r="B1617" s="8">
        <v>652</v>
      </c>
      <c r="C1617" s="2">
        <v>9</v>
      </c>
      <c r="D1617" s="2">
        <v>1817</v>
      </c>
      <c r="E1617">
        <v>6624</v>
      </c>
      <c r="F1617" s="9"/>
      <c r="G1617" s="7"/>
      <c r="H1617" s="7" t="s">
        <v>1541</v>
      </c>
      <c r="I1617" s="8">
        <v>0</v>
      </c>
      <c r="J1617" s="8">
        <v>250</v>
      </c>
      <c r="K1617" s="2" t="s">
        <v>865</v>
      </c>
      <c r="L1617" s="43" t="s">
        <v>5989</v>
      </c>
      <c r="O1617" s="41" t="s">
        <v>4964</v>
      </c>
      <c r="P1617" s="41">
        <v>6</v>
      </c>
      <c r="Q1617" s="41">
        <v>6</v>
      </c>
      <c r="R1617" s="41" t="s">
        <v>1547</v>
      </c>
      <c r="S1617" t="s">
        <v>3329</v>
      </c>
      <c r="U1617" t="s">
        <v>4964</v>
      </c>
      <c r="X1617">
        <v>0.25</v>
      </c>
      <c r="Y1617" t="s">
        <v>4965</v>
      </c>
      <c r="AH1617" t="s">
        <v>359</v>
      </c>
    </row>
    <row r="1618" spans="1:34" ht="15.75">
      <c r="A1618" s="29">
        <f t="shared" si="25"/>
        <v>0</v>
      </c>
      <c r="B1618" s="2">
        <v>652</v>
      </c>
      <c r="C1618" s="2">
        <v>9</v>
      </c>
      <c r="D1618" s="2">
        <v>1817</v>
      </c>
      <c r="E1618">
        <v>6626</v>
      </c>
      <c r="G1618" s="1"/>
      <c r="H1618" s="1" t="s">
        <v>850</v>
      </c>
      <c r="I1618" s="2">
        <v>0</v>
      </c>
      <c r="J1618" s="2">
        <v>0</v>
      </c>
      <c r="K1618" s="2" t="s">
        <v>865</v>
      </c>
      <c r="L1618" s="43" t="s">
        <v>1461</v>
      </c>
      <c r="P1618" s="41">
        <v>6</v>
      </c>
      <c r="Q1618" s="41">
        <v>1</v>
      </c>
      <c r="S1618" t="s">
        <v>3321</v>
      </c>
      <c r="V1618" t="s">
        <v>1644</v>
      </c>
      <c r="AH1618" t="s">
        <v>359</v>
      </c>
    </row>
    <row r="1619" spans="1:34" ht="15.75">
      <c r="A1619" s="29">
        <f t="shared" si="25"/>
        <v>1541</v>
      </c>
      <c r="B1619" s="2">
        <v>653</v>
      </c>
      <c r="C1619" s="2">
        <v>9</v>
      </c>
      <c r="D1619" s="2">
        <v>1817</v>
      </c>
      <c r="E1619">
        <v>6651</v>
      </c>
      <c r="G1619" s="1"/>
      <c r="H1619" t="s">
        <v>1541</v>
      </c>
      <c r="I1619" s="2">
        <v>1541</v>
      </c>
      <c r="J1619" s="2">
        <v>0</v>
      </c>
      <c r="K1619" s="2" t="s">
        <v>865</v>
      </c>
      <c r="L1619" s="43" t="s">
        <v>4971</v>
      </c>
      <c r="P1619" s="41">
        <v>27</v>
      </c>
      <c r="Q1619" s="41">
        <v>7</v>
      </c>
      <c r="R1619" s="41">
        <v>91</v>
      </c>
      <c r="S1619" t="s">
        <v>3329</v>
      </c>
      <c r="AH1619" t="s">
        <v>359</v>
      </c>
    </row>
    <row r="1620" spans="1:34" ht="15.75">
      <c r="A1620" s="29">
        <f t="shared" si="25"/>
        <v>30</v>
      </c>
      <c r="B1620" s="2">
        <v>653</v>
      </c>
      <c r="C1620" s="2">
        <v>9</v>
      </c>
      <c r="D1620" s="2">
        <v>1817</v>
      </c>
      <c r="E1620">
        <v>6652</v>
      </c>
      <c r="G1620" s="1"/>
      <c r="H1620" t="s">
        <v>1540</v>
      </c>
      <c r="I1620" s="2">
        <v>30</v>
      </c>
      <c r="J1620" s="2">
        <v>0</v>
      </c>
      <c r="K1620" s="2" t="s">
        <v>865</v>
      </c>
      <c r="L1620" s="43" t="s">
        <v>1465</v>
      </c>
      <c r="P1620" s="41">
        <v>24</v>
      </c>
      <c r="Q1620" s="41">
        <v>2</v>
      </c>
      <c r="R1620" s="41">
        <v>63</v>
      </c>
      <c r="S1620" t="s">
        <v>3343</v>
      </c>
      <c r="AH1620" t="s">
        <v>359</v>
      </c>
    </row>
    <row r="1621" spans="1:34" ht="15.75">
      <c r="A1621" s="29">
        <f t="shared" si="25"/>
        <v>47200</v>
      </c>
      <c r="B1621" s="8">
        <v>653</v>
      </c>
      <c r="C1621" s="8">
        <v>9</v>
      </c>
      <c r="D1621" s="2">
        <v>1817</v>
      </c>
      <c r="E1621">
        <v>6653</v>
      </c>
      <c r="F1621" s="9"/>
      <c r="G1621" s="7"/>
      <c r="H1621" s="9" t="s">
        <v>1541</v>
      </c>
      <c r="I1621" s="8">
        <v>1200</v>
      </c>
      <c r="J1621" s="8">
        <v>2300</v>
      </c>
      <c r="K1621" s="2" t="s">
        <v>865</v>
      </c>
      <c r="L1621" s="43" t="s">
        <v>4972</v>
      </c>
      <c r="M1621" s="41" t="s">
        <v>4973</v>
      </c>
      <c r="N1621" s="41" t="s">
        <v>4974</v>
      </c>
      <c r="O1621" s="41" t="s">
        <v>4975</v>
      </c>
      <c r="P1621" s="41">
        <v>13</v>
      </c>
      <c r="Q1621" s="41">
        <v>8</v>
      </c>
      <c r="R1621" s="41">
        <v>74</v>
      </c>
      <c r="S1621" t="s">
        <v>3343</v>
      </c>
      <c r="T1621" t="s">
        <v>4976</v>
      </c>
      <c r="V1621" t="s">
        <v>4977</v>
      </c>
      <c r="X1621">
        <v>1</v>
      </c>
      <c r="Y1621" t="s">
        <v>4975</v>
      </c>
      <c r="AH1621" t="s">
        <v>359</v>
      </c>
    </row>
    <row r="1622" spans="1:34" ht="15.75">
      <c r="A1622" s="29">
        <f t="shared" si="25"/>
        <v>43</v>
      </c>
      <c r="B1622" s="8">
        <v>653</v>
      </c>
      <c r="C1622" s="8">
        <v>9</v>
      </c>
      <c r="D1622" s="2">
        <v>1817</v>
      </c>
      <c r="E1622">
        <v>6654</v>
      </c>
      <c r="F1622" s="9"/>
      <c r="G1622" s="7"/>
      <c r="H1622" s="9" t="s">
        <v>1541</v>
      </c>
      <c r="I1622" s="8">
        <v>43</v>
      </c>
      <c r="J1622" s="8">
        <v>0</v>
      </c>
      <c r="K1622" s="8" t="s">
        <v>1549</v>
      </c>
      <c r="L1622" s="43" t="s">
        <v>1467</v>
      </c>
      <c r="P1622" s="41">
        <v>18</v>
      </c>
      <c r="Q1622" s="41">
        <v>9</v>
      </c>
      <c r="R1622" s="41">
        <v>85</v>
      </c>
      <c r="S1622" t="s">
        <v>3329</v>
      </c>
      <c r="AH1622" t="s">
        <v>359</v>
      </c>
    </row>
    <row r="1623" spans="1:34" ht="15.75">
      <c r="A1623" s="29">
        <f t="shared" si="25"/>
        <v>72965</v>
      </c>
      <c r="B1623" s="8">
        <v>653</v>
      </c>
      <c r="C1623" s="8">
        <v>9</v>
      </c>
      <c r="D1623" s="2">
        <v>1817</v>
      </c>
      <c r="E1623">
        <v>6656</v>
      </c>
      <c r="F1623" s="9"/>
      <c r="G1623" s="7"/>
      <c r="H1623" s="9" t="s">
        <v>1541</v>
      </c>
      <c r="I1623" s="8">
        <v>72965</v>
      </c>
      <c r="J1623" s="8">
        <v>0</v>
      </c>
      <c r="K1623" s="8" t="s">
        <v>1549</v>
      </c>
      <c r="L1623" s="43" t="s">
        <v>4978</v>
      </c>
      <c r="M1623" s="41" t="s">
        <v>4984</v>
      </c>
      <c r="N1623" s="41" t="s">
        <v>851</v>
      </c>
      <c r="O1623" s="41" t="s">
        <v>4985</v>
      </c>
      <c r="P1623" s="41">
        <v>13</v>
      </c>
      <c r="Q1623" s="41">
        <v>7</v>
      </c>
      <c r="R1623" s="41">
        <v>75</v>
      </c>
      <c r="S1623" t="s">
        <v>4983</v>
      </c>
      <c r="T1623" t="s">
        <v>4986</v>
      </c>
      <c r="V1623" t="s">
        <v>4987</v>
      </c>
      <c r="AH1623" t="s">
        <v>359</v>
      </c>
    </row>
    <row r="1624" spans="1:34" ht="15.75">
      <c r="A1624" s="29">
        <f t="shared" si="25"/>
        <v>80</v>
      </c>
      <c r="B1624" s="8">
        <v>653</v>
      </c>
      <c r="C1624" s="8">
        <v>9</v>
      </c>
      <c r="D1624" s="2">
        <v>1817</v>
      </c>
      <c r="E1624">
        <v>6657</v>
      </c>
      <c r="F1624" s="9"/>
      <c r="G1624" s="7"/>
      <c r="H1624" s="9" t="s">
        <v>1541</v>
      </c>
      <c r="I1624" s="8">
        <v>80</v>
      </c>
      <c r="J1624" s="8">
        <v>0</v>
      </c>
      <c r="K1624" s="8" t="s">
        <v>1549</v>
      </c>
      <c r="L1624" s="43" t="s">
        <v>5987</v>
      </c>
      <c r="P1624" s="41">
        <v>19</v>
      </c>
      <c r="Q1624" s="41">
        <v>11</v>
      </c>
      <c r="R1624" s="41">
        <v>30</v>
      </c>
      <c r="S1624" t="s">
        <v>3321</v>
      </c>
      <c r="AH1624" t="s">
        <v>359</v>
      </c>
    </row>
    <row r="1625" spans="1:34" ht="15.75">
      <c r="A1625" s="29">
        <f t="shared" si="25"/>
        <v>499135</v>
      </c>
      <c r="B1625" s="8">
        <v>653</v>
      </c>
      <c r="C1625" s="8">
        <v>9</v>
      </c>
      <c r="D1625" s="2">
        <v>1817</v>
      </c>
      <c r="E1625">
        <v>6658</v>
      </c>
      <c r="F1625" s="9"/>
      <c r="G1625" s="7"/>
      <c r="H1625" s="9" t="s">
        <v>1541</v>
      </c>
      <c r="I1625" s="8">
        <f>70636+428499</f>
        <v>499135</v>
      </c>
      <c r="J1625" s="8">
        <v>0</v>
      </c>
      <c r="K1625" s="8" t="s">
        <v>1549</v>
      </c>
      <c r="L1625" s="43" t="s">
        <v>4988</v>
      </c>
      <c r="M1625" s="41" t="s">
        <v>3246</v>
      </c>
      <c r="N1625" s="41" t="s">
        <v>3453</v>
      </c>
      <c r="O1625" s="41" t="s">
        <v>4990</v>
      </c>
      <c r="P1625" s="41">
        <v>3</v>
      </c>
      <c r="Q1625" s="41">
        <v>2</v>
      </c>
      <c r="R1625" s="41">
        <v>75</v>
      </c>
      <c r="S1625" t="s">
        <v>4989</v>
      </c>
      <c r="T1625" t="s">
        <v>4991</v>
      </c>
      <c r="V1625" t="s">
        <v>3527</v>
      </c>
      <c r="AH1625" t="s">
        <v>359</v>
      </c>
    </row>
    <row r="1626" spans="1:34" ht="15.75">
      <c r="A1626" s="29">
        <f t="shared" si="25"/>
        <v>17</v>
      </c>
      <c r="B1626" s="8">
        <v>653</v>
      </c>
      <c r="C1626" s="8">
        <v>9</v>
      </c>
      <c r="D1626" s="2">
        <v>1817</v>
      </c>
      <c r="E1626">
        <v>6659</v>
      </c>
      <c r="F1626" s="9"/>
      <c r="G1626" s="7"/>
      <c r="H1626" s="9" t="s">
        <v>1541</v>
      </c>
      <c r="I1626" s="8">
        <v>17</v>
      </c>
      <c r="J1626" s="8">
        <v>0</v>
      </c>
      <c r="K1626" s="8" t="s">
        <v>1549</v>
      </c>
      <c r="L1626" s="43" t="s">
        <v>1474</v>
      </c>
      <c r="P1626" s="41">
        <v>25</v>
      </c>
      <c r="Q1626" s="41">
        <v>7</v>
      </c>
      <c r="R1626" s="41" t="s">
        <v>1547</v>
      </c>
      <c r="S1626" t="s">
        <v>1547</v>
      </c>
      <c r="U1626" t="s">
        <v>4992</v>
      </c>
      <c r="AH1626" t="s">
        <v>359</v>
      </c>
    </row>
    <row r="1627" spans="1:34" ht="15.75">
      <c r="A1627" s="29">
        <f t="shared" si="25"/>
        <v>4439</v>
      </c>
      <c r="B1627" s="8">
        <v>653</v>
      </c>
      <c r="C1627" s="8">
        <v>9</v>
      </c>
      <c r="D1627" s="2">
        <v>1817</v>
      </c>
      <c r="E1627">
        <v>6660</v>
      </c>
      <c r="F1627" s="9"/>
      <c r="G1627" s="7"/>
      <c r="H1627" s="9" t="s">
        <v>1540</v>
      </c>
      <c r="I1627" s="8">
        <v>739</v>
      </c>
      <c r="J1627" s="8">
        <v>185</v>
      </c>
      <c r="K1627" s="8" t="s">
        <v>1549</v>
      </c>
      <c r="L1627" s="43" t="s">
        <v>5993</v>
      </c>
      <c r="P1627" s="41">
        <v>26</v>
      </c>
      <c r="Q1627" s="41">
        <v>11</v>
      </c>
      <c r="R1627" s="41" t="s">
        <v>1547</v>
      </c>
      <c r="S1627" t="s">
        <v>1547</v>
      </c>
      <c r="U1627" t="s">
        <v>3635</v>
      </c>
      <c r="X1627">
        <v>1</v>
      </c>
      <c r="Y1627" t="s">
        <v>4993</v>
      </c>
      <c r="AH1627" t="s">
        <v>359</v>
      </c>
    </row>
    <row r="1628" spans="1:34" ht="15.75">
      <c r="A1628" s="29">
        <f t="shared" si="25"/>
        <v>1964</v>
      </c>
      <c r="B1628" s="2">
        <v>653</v>
      </c>
      <c r="C1628" s="2">
        <v>9</v>
      </c>
      <c r="D1628" s="2">
        <v>1817</v>
      </c>
      <c r="E1628">
        <v>6661</v>
      </c>
      <c r="G1628" s="1"/>
      <c r="H1628" t="s">
        <v>1540</v>
      </c>
      <c r="I1628" s="2">
        <v>1964</v>
      </c>
      <c r="J1628" s="2">
        <v>0</v>
      </c>
      <c r="K1628" s="8" t="s">
        <v>1549</v>
      </c>
      <c r="L1628" s="43" t="s">
        <v>4994</v>
      </c>
      <c r="P1628" s="41">
        <v>23</v>
      </c>
      <c r="Q1628" s="41">
        <v>7</v>
      </c>
      <c r="R1628" s="41" t="s">
        <v>1547</v>
      </c>
      <c r="S1628" t="s">
        <v>3343</v>
      </c>
      <c r="AH1628" t="s">
        <v>359</v>
      </c>
    </row>
    <row r="1629" spans="1:34" ht="15.75">
      <c r="A1629" s="29">
        <f t="shared" si="25"/>
        <v>110</v>
      </c>
      <c r="B1629" s="2">
        <v>653</v>
      </c>
      <c r="C1629" s="2">
        <v>9</v>
      </c>
      <c r="D1629" s="2">
        <v>1817</v>
      </c>
      <c r="E1629">
        <v>6662</v>
      </c>
      <c r="G1629" s="1"/>
      <c r="H1629" t="s">
        <v>1549</v>
      </c>
      <c r="I1629" s="2">
        <v>110</v>
      </c>
      <c r="J1629" s="2">
        <v>0</v>
      </c>
      <c r="K1629" s="8" t="s">
        <v>1549</v>
      </c>
      <c r="L1629" s="43" t="s">
        <v>1475</v>
      </c>
      <c r="P1629" s="41">
        <v>17</v>
      </c>
      <c r="Q1629" s="41">
        <v>12</v>
      </c>
      <c r="R1629" s="41">
        <v>34</v>
      </c>
      <c r="S1629" t="s">
        <v>3321</v>
      </c>
      <c r="AH1629" t="s">
        <v>359</v>
      </c>
    </row>
    <row r="1630" spans="1:34" ht="15.75">
      <c r="A1630" s="29">
        <f t="shared" si="25"/>
        <v>1369</v>
      </c>
      <c r="B1630" s="2">
        <v>654</v>
      </c>
      <c r="C1630" s="2">
        <v>9</v>
      </c>
      <c r="D1630" s="2">
        <v>1817</v>
      </c>
      <c r="E1630">
        <v>6682</v>
      </c>
      <c r="G1630" s="1"/>
      <c r="H1630" t="s">
        <v>1541</v>
      </c>
      <c r="I1630" s="2">
        <v>1369</v>
      </c>
      <c r="J1630" s="2">
        <v>0</v>
      </c>
      <c r="K1630" s="8" t="s">
        <v>1549</v>
      </c>
      <c r="L1630" s="43" t="s">
        <v>5007</v>
      </c>
      <c r="P1630" s="41">
        <v>5</v>
      </c>
      <c r="Q1630" s="41">
        <v>7</v>
      </c>
      <c r="R1630" s="41">
        <v>53</v>
      </c>
      <c r="S1630" t="s">
        <v>3343</v>
      </c>
      <c r="AH1630" t="s">
        <v>359</v>
      </c>
    </row>
    <row r="1631" spans="1:34" ht="15.75">
      <c r="A1631" s="29">
        <f t="shared" si="25"/>
        <v>1102</v>
      </c>
      <c r="B1631" s="2">
        <v>654</v>
      </c>
      <c r="C1631" s="2">
        <v>9</v>
      </c>
      <c r="D1631" s="2">
        <v>1817</v>
      </c>
      <c r="E1631">
        <v>6683</v>
      </c>
      <c r="G1631" s="1"/>
      <c r="H1631" t="s">
        <v>1541</v>
      </c>
      <c r="I1631" s="2">
        <v>1102</v>
      </c>
      <c r="J1631" s="2">
        <v>0</v>
      </c>
      <c r="K1631" s="8" t="s">
        <v>1549</v>
      </c>
      <c r="L1631" s="43" t="s">
        <v>1488</v>
      </c>
      <c r="P1631" s="41">
        <v>30</v>
      </c>
      <c r="Q1631" s="41">
        <v>6</v>
      </c>
      <c r="R1631" s="41">
        <v>55</v>
      </c>
      <c r="S1631" t="s">
        <v>3321</v>
      </c>
      <c r="AH1631" t="s">
        <v>359</v>
      </c>
    </row>
    <row r="1632" spans="1:34" ht="15.75">
      <c r="A1632" s="29">
        <f t="shared" si="25"/>
        <v>1011</v>
      </c>
      <c r="B1632" s="2">
        <v>654</v>
      </c>
      <c r="C1632" s="2">
        <v>9</v>
      </c>
      <c r="D1632" s="2">
        <v>1817</v>
      </c>
      <c r="E1632">
        <v>6684</v>
      </c>
      <c r="G1632" s="1"/>
      <c r="H1632" t="s">
        <v>1540</v>
      </c>
      <c r="I1632" s="2">
        <v>1011</v>
      </c>
      <c r="J1632" s="2">
        <v>0</v>
      </c>
      <c r="K1632" s="8" t="s">
        <v>1549</v>
      </c>
      <c r="L1632" s="43" t="s">
        <v>5008</v>
      </c>
      <c r="P1632" s="41">
        <v>9</v>
      </c>
      <c r="Q1632" s="41">
        <v>11</v>
      </c>
      <c r="R1632" s="41">
        <v>66</v>
      </c>
      <c r="S1632" t="s">
        <v>3321</v>
      </c>
      <c r="AH1632" t="s">
        <v>359</v>
      </c>
    </row>
    <row r="1633" spans="1:34" ht="15.75">
      <c r="A1633" s="29">
        <f t="shared" si="25"/>
        <v>233</v>
      </c>
      <c r="B1633" s="2">
        <v>654</v>
      </c>
      <c r="C1633" s="2">
        <v>9</v>
      </c>
      <c r="D1633" s="2">
        <v>1817</v>
      </c>
      <c r="E1633">
        <v>6685</v>
      </c>
      <c r="G1633" s="1"/>
      <c r="H1633" t="s">
        <v>1540</v>
      </c>
      <c r="I1633" s="2">
        <v>233</v>
      </c>
      <c r="J1633" s="2">
        <v>0</v>
      </c>
      <c r="K1633" s="8" t="s">
        <v>1549</v>
      </c>
      <c r="L1633" s="43" t="s">
        <v>3325</v>
      </c>
      <c r="P1633" s="41">
        <v>29</v>
      </c>
      <c r="Q1633" s="41">
        <v>7</v>
      </c>
      <c r="R1633" s="41" t="s">
        <v>1547</v>
      </c>
      <c r="S1633" t="s">
        <v>1547</v>
      </c>
      <c r="U1633" t="s">
        <v>5009</v>
      </c>
      <c r="AH1633" t="s">
        <v>359</v>
      </c>
    </row>
    <row r="1634" spans="1:34" ht="15.75">
      <c r="A1634" s="29">
        <f t="shared" si="25"/>
        <v>10396</v>
      </c>
      <c r="B1634" s="2">
        <v>654</v>
      </c>
      <c r="C1634" s="2">
        <v>9</v>
      </c>
      <c r="D1634" s="2">
        <v>1817</v>
      </c>
      <c r="E1634">
        <v>6686</v>
      </c>
      <c r="G1634" s="1"/>
      <c r="H1634" t="s">
        <v>1541</v>
      </c>
      <c r="I1634" s="2">
        <v>10396</v>
      </c>
      <c r="J1634" s="2">
        <v>0</v>
      </c>
      <c r="K1634" s="8" t="s">
        <v>1549</v>
      </c>
      <c r="L1634" s="43" t="s">
        <v>5010</v>
      </c>
      <c r="P1634" s="41">
        <v>7</v>
      </c>
      <c r="Q1634" s="41">
        <v>7</v>
      </c>
      <c r="R1634" s="41">
        <v>57</v>
      </c>
      <c r="S1634" t="s">
        <v>3321</v>
      </c>
      <c r="AH1634" t="s">
        <v>359</v>
      </c>
    </row>
    <row r="1635" spans="1:34" ht="15.75">
      <c r="A1635" s="29">
        <f t="shared" si="25"/>
        <v>966</v>
      </c>
      <c r="B1635" s="2">
        <v>654</v>
      </c>
      <c r="C1635" s="2">
        <v>9</v>
      </c>
      <c r="D1635" s="2">
        <v>1817</v>
      </c>
      <c r="E1635">
        <v>6687</v>
      </c>
      <c r="G1635" s="1"/>
      <c r="H1635" t="s">
        <v>1540</v>
      </c>
      <c r="I1635" s="2">
        <v>966</v>
      </c>
      <c r="J1635" s="2">
        <v>0</v>
      </c>
      <c r="K1635" s="8" t="s">
        <v>1549</v>
      </c>
      <c r="L1635" s="43" t="s">
        <v>2292</v>
      </c>
      <c r="P1635" s="41">
        <v>17</v>
      </c>
      <c r="Q1635" s="41">
        <v>12</v>
      </c>
      <c r="R1635" s="41">
        <v>31</v>
      </c>
      <c r="S1635" t="s">
        <v>3321</v>
      </c>
      <c r="AH1635" t="s">
        <v>359</v>
      </c>
    </row>
    <row r="1636" spans="1:34" ht="15.75">
      <c r="A1636" s="29">
        <f t="shared" si="25"/>
        <v>233</v>
      </c>
      <c r="B1636" s="2">
        <v>654</v>
      </c>
      <c r="C1636" s="2">
        <v>9</v>
      </c>
      <c r="D1636" s="2">
        <v>1817</v>
      </c>
      <c r="E1636">
        <v>6688</v>
      </c>
      <c r="G1636" s="1"/>
      <c r="H1636" t="s">
        <v>1549</v>
      </c>
      <c r="I1636" s="2">
        <v>233</v>
      </c>
      <c r="J1636" s="2">
        <v>0</v>
      </c>
      <c r="K1636" s="8" t="s">
        <v>1549</v>
      </c>
      <c r="L1636" s="43" t="s">
        <v>3327</v>
      </c>
      <c r="P1636" s="41">
        <v>29</v>
      </c>
      <c r="Q1636" s="41">
        <v>7</v>
      </c>
      <c r="R1636" s="41" t="s">
        <v>1547</v>
      </c>
      <c r="S1636" t="s">
        <v>1547</v>
      </c>
      <c r="U1636" t="s">
        <v>5009</v>
      </c>
      <c r="AH1636" t="s">
        <v>359</v>
      </c>
    </row>
    <row r="1637" spans="1:34" ht="15.75">
      <c r="A1637" s="29">
        <f t="shared" si="25"/>
        <v>37145</v>
      </c>
      <c r="B1637" s="8">
        <v>655</v>
      </c>
      <c r="C1637" s="8">
        <v>9</v>
      </c>
      <c r="D1637" s="2">
        <v>1817</v>
      </c>
      <c r="E1637">
        <v>6707</v>
      </c>
      <c r="F1637" s="9"/>
      <c r="G1637" s="7"/>
      <c r="H1637" s="9" t="s">
        <v>1541</v>
      </c>
      <c r="I1637" s="8">
        <v>11145</v>
      </c>
      <c r="J1637" s="8">
        <v>1300</v>
      </c>
      <c r="K1637" s="8" t="s">
        <v>1549</v>
      </c>
      <c r="L1637" s="43" t="s">
        <v>3306</v>
      </c>
      <c r="M1637" s="41" t="s">
        <v>5012</v>
      </c>
      <c r="N1637" s="41" t="s">
        <v>3453</v>
      </c>
      <c r="O1637" s="41" t="s">
        <v>5013</v>
      </c>
      <c r="P1637" s="41">
        <v>17</v>
      </c>
      <c r="Q1637" s="41">
        <v>4</v>
      </c>
      <c r="R1637" s="41">
        <v>63</v>
      </c>
      <c r="S1637" t="s">
        <v>5011</v>
      </c>
      <c r="T1637" t="s">
        <v>5014</v>
      </c>
      <c r="V1637" t="s">
        <v>4955</v>
      </c>
      <c r="X1637">
        <v>1</v>
      </c>
      <c r="Y1637" t="s">
        <v>5013</v>
      </c>
      <c r="AH1637" t="s">
        <v>359</v>
      </c>
    </row>
    <row r="1638" spans="1:34" ht="15.75">
      <c r="A1638" s="29">
        <f t="shared" si="25"/>
        <v>113</v>
      </c>
      <c r="B1638" s="8">
        <v>655</v>
      </c>
      <c r="C1638" s="8">
        <v>9</v>
      </c>
      <c r="D1638" s="2">
        <v>1817</v>
      </c>
      <c r="E1638">
        <v>6708</v>
      </c>
      <c r="F1638" s="9"/>
      <c r="G1638" s="7"/>
      <c r="H1638" s="9" t="s">
        <v>1541</v>
      </c>
      <c r="I1638" s="8">
        <v>113</v>
      </c>
      <c r="J1638" s="8">
        <v>0</v>
      </c>
      <c r="K1638" s="8" t="s">
        <v>1549</v>
      </c>
      <c r="L1638" s="43" t="s">
        <v>3328</v>
      </c>
      <c r="P1638" s="41">
        <v>9</v>
      </c>
      <c r="Q1638" s="41">
        <v>8</v>
      </c>
      <c r="R1638" s="41">
        <v>60</v>
      </c>
      <c r="S1638" t="s">
        <v>3321</v>
      </c>
      <c r="AH1638" t="s">
        <v>359</v>
      </c>
    </row>
    <row r="1639" spans="1:34" ht="15.75">
      <c r="A1639" s="29">
        <f t="shared" si="25"/>
        <v>94832</v>
      </c>
      <c r="B1639" s="8">
        <v>655</v>
      </c>
      <c r="C1639" s="8">
        <v>9</v>
      </c>
      <c r="D1639" s="2">
        <v>1817</v>
      </c>
      <c r="E1639">
        <v>6709</v>
      </c>
      <c r="F1639" s="9"/>
      <c r="G1639" s="7"/>
      <c r="H1639" s="9" t="s">
        <v>1540</v>
      </c>
      <c r="I1639" s="8">
        <v>44832</v>
      </c>
      <c r="J1639" s="8">
        <f>1650+850</f>
        <v>2500</v>
      </c>
      <c r="K1639" s="8" t="s">
        <v>1549</v>
      </c>
      <c r="L1639" s="43" t="s">
        <v>5015</v>
      </c>
      <c r="M1639" s="41" t="s">
        <v>3451</v>
      </c>
      <c r="N1639" s="41" t="s">
        <v>5017</v>
      </c>
      <c r="O1639" s="41" t="s">
        <v>5018</v>
      </c>
      <c r="P1639" s="41">
        <v>17</v>
      </c>
      <c r="Q1639" s="41">
        <v>7</v>
      </c>
      <c r="R1639" s="41">
        <v>48</v>
      </c>
      <c r="S1639" t="s">
        <v>5016</v>
      </c>
      <c r="T1639" t="s">
        <v>5019</v>
      </c>
      <c r="V1639" t="s">
        <v>3131</v>
      </c>
      <c r="X1639">
        <v>1</v>
      </c>
      <c r="Y1639" t="s">
        <v>5020</v>
      </c>
      <c r="AH1639" t="s">
        <v>359</v>
      </c>
    </row>
    <row r="1640" spans="1:34" ht="15.75">
      <c r="A1640" s="29">
        <f t="shared" si="25"/>
        <v>107256</v>
      </c>
      <c r="B1640" s="8">
        <v>655</v>
      </c>
      <c r="C1640" s="8">
        <v>9</v>
      </c>
      <c r="D1640" s="2">
        <v>1817</v>
      </c>
      <c r="E1640">
        <v>6710</v>
      </c>
      <c r="F1640" s="9"/>
      <c r="G1640" s="7"/>
      <c r="H1640" s="9" t="s">
        <v>1540</v>
      </c>
      <c r="I1640" s="8">
        <v>107256</v>
      </c>
      <c r="J1640" s="8">
        <v>0</v>
      </c>
      <c r="K1640" s="8" t="s">
        <v>5022</v>
      </c>
      <c r="L1640" s="43" t="s">
        <v>5021</v>
      </c>
      <c r="M1640" s="41" t="s">
        <v>5023</v>
      </c>
      <c r="N1640" s="41" t="s">
        <v>1555</v>
      </c>
      <c r="O1640" s="41" t="s">
        <v>5024</v>
      </c>
      <c r="P1640" s="41">
        <v>27</v>
      </c>
      <c r="Q1640" s="41">
        <v>1</v>
      </c>
      <c r="R1640" s="41">
        <v>60</v>
      </c>
      <c r="S1640" t="s">
        <v>3321</v>
      </c>
      <c r="T1640" t="s">
        <v>5025</v>
      </c>
      <c r="V1640" t="s">
        <v>3925</v>
      </c>
      <c r="AH1640" t="s">
        <v>359</v>
      </c>
    </row>
    <row r="1641" spans="1:34" ht="15.75">
      <c r="A1641" s="29">
        <f t="shared" si="25"/>
        <v>399</v>
      </c>
      <c r="B1641" s="8">
        <v>655</v>
      </c>
      <c r="C1641" s="8">
        <v>9</v>
      </c>
      <c r="D1641" s="2">
        <v>1817</v>
      </c>
      <c r="E1641">
        <v>6711</v>
      </c>
      <c r="F1641" s="9"/>
      <c r="G1641" s="7"/>
      <c r="H1641" s="9" t="s">
        <v>1541</v>
      </c>
      <c r="I1641" s="8">
        <v>399</v>
      </c>
      <c r="J1641" s="8">
        <v>0</v>
      </c>
      <c r="K1641" s="8" t="s">
        <v>5022</v>
      </c>
      <c r="L1641" s="43" t="s">
        <v>5026</v>
      </c>
      <c r="P1641" s="41">
        <v>11</v>
      </c>
      <c r="Q1641" s="41">
        <v>9</v>
      </c>
      <c r="R1641" s="41">
        <v>35</v>
      </c>
      <c r="S1641" t="s">
        <v>3343</v>
      </c>
      <c r="AH1641" t="s">
        <v>359</v>
      </c>
    </row>
    <row r="1642" spans="1:34" ht="15.75">
      <c r="A1642" s="29">
        <f t="shared" si="25"/>
        <v>4444</v>
      </c>
      <c r="B1642" s="8">
        <v>407</v>
      </c>
      <c r="C1642" s="8">
        <v>9</v>
      </c>
      <c r="D1642" s="2">
        <v>1817</v>
      </c>
      <c r="E1642">
        <v>6712</v>
      </c>
      <c r="F1642" s="9"/>
      <c r="G1642" s="7"/>
      <c r="H1642" s="9" t="s">
        <v>850</v>
      </c>
      <c r="I1642" s="8">
        <v>4444</v>
      </c>
      <c r="J1642" s="8"/>
      <c r="K1642" s="8" t="s">
        <v>1277</v>
      </c>
      <c r="L1642" s="43" t="s">
        <v>5996</v>
      </c>
      <c r="P1642" s="41">
        <v>4</v>
      </c>
      <c r="Q1642" s="41">
        <v>1</v>
      </c>
      <c r="R1642" s="41" t="s">
        <v>1547</v>
      </c>
      <c r="S1642" t="s">
        <v>874</v>
      </c>
      <c r="V1642" t="s">
        <v>5027</v>
      </c>
      <c r="AH1642" t="s">
        <v>359</v>
      </c>
    </row>
    <row r="1643" spans="1:34" ht="15.75">
      <c r="A1643" s="29">
        <f t="shared" si="25"/>
        <v>722</v>
      </c>
      <c r="B1643" s="8">
        <v>655</v>
      </c>
      <c r="C1643" s="8">
        <v>9</v>
      </c>
      <c r="D1643" s="2">
        <v>1817</v>
      </c>
      <c r="E1643">
        <v>6713</v>
      </c>
      <c r="F1643" s="9"/>
      <c r="G1643" s="7"/>
      <c r="H1643" s="9" t="s">
        <v>1541</v>
      </c>
      <c r="I1643" s="8">
        <v>722</v>
      </c>
      <c r="J1643" s="8">
        <v>0</v>
      </c>
      <c r="K1643" s="8" t="s">
        <v>5022</v>
      </c>
      <c r="L1643" s="43" t="s">
        <v>3330</v>
      </c>
      <c r="P1643" s="41">
        <v>19</v>
      </c>
      <c r="Q1643" s="41">
        <v>10</v>
      </c>
      <c r="R1643" s="41">
        <v>38</v>
      </c>
      <c r="S1643" t="s">
        <v>3352</v>
      </c>
      <c r="AH1643" t="s">
        <v>359</v>
      </c>
    </row>
    <row r="1644" spans="1:34" ht="15.75">
      <c r="A1644" s="29">
        <f t="shared" si="25"/>
        <v>225</v>
      </c>
      <c r="B1644" s="8">
        <v>655</v>
      </c>
      <c r="C1644" s="8">
        <v>9</v>
      </c>
      <c r="D1644" s="2">
        <v>1817</v>
      </c>
      <c r="E1644">
        <v>6714</v>
      </c>
      <c r="F1644" s="9"/>
      <c r="G1644" s="7"/>
      <c r="H1644" s="9" t="s">
        <v>1541</v>
      </c>
      <c r="I1644" s="8">
        <v>225</v>
      </c>
      <c r="J1644" s="8">
        <v>0</v>
      </c>
      <c r="K1644" s="8" t="s">
        <v>5022</v>
      </c>
      <c r="L1644" s="43" t="s">
        <v>3330</v>
      </c>
      <c r="P1644" s="41">
        <v>20</v>
      </c>
      <c r="Q1644" s="41">
        <v>2</v>
      </c>
      <c r="R1644" s="41" t="s">
        <v>1547</v>
      </c>
      <c r="S1644" t="s">
        <v>3321</v>
      </c>
      <c r="T1644" t="s">
        <v>1484</v>
      </c>
      <c r="AH1644" t="s">
        <v>359</v>
      </c>
    </row>
    <row r="1645" spans="1:34" ht="15.75">
      <c r="A1645" s="29">
        <f t="shared" si="25"/>
        <v>8360</v>
      </c>
      <c r="B1645" s="8">
        <v>655</v>
      </c>
      <c r="C1645" s="8">
        <v>9</v>
      </c>
      <c r="D1645" s="2">
        <v>1817</v>
      </c>
      <c r="E1645">
        <v>6715</v>
      </c>
      <c r="F1645" s="9"/>
      <c r="G1645" s="7"/>
      <c r="H1645" s="9" t="s">
        <v>1541</v>
      </c>
      <c r="I1645" s="8">
        <v>0</v>
      </c>
      <c r="J1645" s="8">
        <v>418</v>
      </c>
      <c r="K1645" s="8" t="s">
        <v>5022</v>
      </c>
      <c r="L1645" s="43" t="s">
        <v>3331</v>
      </c>
      <c r="P1645" s="41">
        <v>14</v>
      </c>
      <c r="Q1645" s="41">
        <v>4</v>
      </c>
      <c r="R1645" s="41">
        <v>81</v>
      </c>
      <c r="S1645" t="s">
        <v>3324</v>
      </c>
      <c r="X1645">
        <v>1</v>
      </c>
      <c r="Y1645" t="s">
        <v>5028</v>
      </c>
      <c r="AH1645" t="s">
        <v>359</v>
      </c>
    </row>
    <row r="1646" spans="1:34" ht="15.75">
      <c r="A1646" s="29">
        <f t="shared" si="25"/>
        <v>233</v>
      </c>
      <c r="B1646" s="8">
        <v>655</v>
      </c>
      <c r="C1646" s="8">
        <v>9</v>
      </c>
      <c r="D1646" s="2">
        <v>1817</v>
      </c>
      <c r="E1646">
        <v>6716</v>
      </c>
      <c r="F1646" s="9"/>
      <c r="G1646" s="7"/>
      <c r="H1646" s="9" t="s">
        <v>1540</v>
      </c>
      <c r="I1646" s="8">
        <v>233</v>
      </c>
      <c r="J1646" s="8">
        <v>0</v>
      </c>
      <c r="K1646" s="8" t="s">
        <v>5022</v>
      </c>
      <c r="AH1646" t="s">
        <v>359</v>
      </c>
    </row>
    <row r="1647" spans="1:34" ht="15.75">
      <c r="A1647" s="29">
        <f t="shared" si="25"/>
        <v>30</v>
      </c>
      <c r="B1647" s="8">
        <v>655</v>
      </c>
      <c r="C1647" s="8">
        <v>9</v>
      </c>
      <c r="D1647" s="2">
        <v>1817</v>
      </c>
      <c r="E1647">
        <v>6717</v>
      </c>
      <c r="F1647" s="9"/>
      <c r="G1647" s="7"/>
      <c r="H1647" s="9" t="s">
        <v>1540</v>
      </c>
      <c r="I1647" s="8">
        <v>30</v>
      </c>
      <c r="J1647" s="8">
        <v>0</v>
      </c>
      <c r="K1647" s="8" t="s">
        <v>5022</v>
      </c>
      <c r="L1647" s="43" t="s">
        <v>3333</v>
      </c>
      <c r="P1647" s="41">
        <v>21</v>
      </c>
      <c r="Q1647" s="41">
        <v>11</v>
      </c>
      <c r="R1647" s="41">
        <v>51</v>
      </c>
      <c r="S1647" t="s">
        <v>3324</v>
      </c>
      <c r="AH1647" t="s">
        <v>359</v>
      </c>
    </row>
    <row r="1648" spans="1:34" ht="15.75">
      <c r="A1648" s="29">
        <f t="shared" si="25"/>
        <v>0</v>
      </c>
      <c r="B1648" s="8">
        <v>655</v>
      </c>
      <c r="C1648" s="8">
        <v>9</v>
      </c>
      <c r="D1648" s="2">
        <v>1817</v>
      </c>
      <c r="E1648">
        <v>6718</v>
      </c>
      <c r="F1648" s="9"/>
      <c r="G1648" s="7"/>
      <c r="H1648" s="9" t="s">
        <v>850</v>
      </c>
      <c r="I1648" s="8">
        <v>0</v>
      </c>
      <c r="J1648" s="8">
        <v>0</v>
      </c>
      <c r="K1648" s="8" t="s">
        <v>5022</v>
      </c>
      <c r="L1648" s="43" t="s">
        <v>5029</v>
      </c>
      <c r="P1648" s="41">
        <v>25</v>
      </c>
      <c r="Q1648" s="41">
        <v>12</v>
      </c>
      <c r="R1648" s="41">
        <v>96</v>
      </c>
      <c r="S1648" t="s">
        <v>3329</v>
      </c>
      <c r="V1648" t="s">
        <v>5030</v>
      </c>
      <c r="AH1648" t="s">
        <v>359</v>
      </c>
    </row>
    <row r="1649" spans="1:34" ht="15.75">
      <c r="A1649" s="29">
        <f t="shared" si="25"/>
        <v>739</v>
      </c>
      <c r="B1649" s="2">
        <v>656</v>
      </c>
      <c r="C1649" s="2">
        <v>9</v>
      </c>
      <c r="D1649" s="2">
        <v>1817</v>
      </c>
      <c r="E1649">
        <v>6734</v>
      </c>
      <c r="G1649" s="1"/>
      <c r="H1649" t="s">
        <v>1541</v>
      </c>
      <c r="I1649" s="2">
        <v>739</v>
      </c>
      <c r="J1649" s="2">
        <v>0</v>
      </c>
      <c r="K1649" s="2" t="s">
        <v>1277</v>
      </c>
      <c r="L1649" s="43" t="s">
        <v>5031</v>
      </c>
      <c r="P1649" s="41">
        <v>21</v>
      </c>
      <c r="Q1649" s="41">
        <v>3</v>
      </c>
      <c r="R1649" s="41">
        <v>77</v>
      </c>
      <c r="S1649" t="s">
        <v>3329</v>
      </c>
      <c r="AH1649" t="s">
        <v>359</v>
      </c>
    </row>
    <row r="1650" spans="1:34" ht="15.75">
      <c r="A1650" s="29">
        <f t="shared" si="25"/>
        <v>878</v>
      </c>
      <c r="B1650" s="2">
        <v>656</v>
      </c>
      <c r="C1650" s="2">
        <v>9</v>
      </c>
      <c r="D1650" s="2">
        <v>1817</v>
      </c>
      <c r="E1650">
        <v>6735</v>
      </c>
      <c r="G1650" s="1"/>
      <c r="H1650" t="s">
        <v>1541</v>
      </c>
      <c r="I1650" s="2">
        <v>878</v>
      </c>
      <c r="J1650" s="2">
        <v>0</v>
      </c>
      <c r="K1650" s="2" t="s">
        <v>1277</v>
      </c>
      <c r="L1650" s="43" t="s">
        <v>5031</v>
      </c>
      <c r="P1650" s="41">
        <v>11</v>
      </c>
      <c r="Q1650" s="41">
        <v>6</v>
      </c>
      <c r="R1650" s="41">
        <v>52</v>
      </c>
      <c r="S1650" t="s">
        <v>3321</v>
      </c>
      <c r="AH1650" t="s">
        <v>359</v>
      </c>
    </row>
    <row r="1651" spans="1:34" ht="15.75">
      <c r="A1651" s="29">
        <f t="shared" si="25"/>
        <v>20000</v>
      </c>
      <c r="B1651" s="8">
        <v>656</v>
      </c>
      <c r="C1651" s="8">
        <v>9</v>
      </c>
      <c r="D1651" s="2">
        <v>1817</v>
      </c>
      <c r="E1651">
        <v>6736</v>
      </c>
      <c r="F1651" s="9"/>
      <c r="G1651" s="7"/>
      <c r="H1651" s="9" t="s">
        <v>1540</v>
      </c>
      <c r="I1651" s="8">
        <v>0</v>
      </c>
      <c r="J1651" s="8">
        <v>1000</v>
      </c>
      <c r="K1651" s="2" t="s">
        <v>1277</v>
      </c>
      <c r="L1651" s="43" t="s">
        <v>5032</v>
      </c>
      <c r="M1651" s="43" t="s">
        <v>5033</v>
      </c>
      <c r="N1651" s="43" t="s">
        <v>1555</v>
      </c>
      <c r="O1651" s="41" t="s">
        <v>5034</v>
      </c>
      <c r="P1651" s="41">
        <v>20</v>
      </c>
      <c r="Q1651" s="41">
        <v>7</v>
      </c>
      <c r="R1651" s="41" t="s">
        <v>1547</v>
      </c>
      <c r="S1651" t="s">
        <v>3321</v>
      </c>
      <c r="T1651" t="s">
        <v>5035</v>
      </c>
      <c r="U1651" t="s">
        <v>5034</v>
      </c>
      <c r="V1651" t="s">
        <v>876</v>
      </c>
      <c r="X1651">
        <v>1</v>
      </c>
      <c r="Y1651" t="s">
        <v>5036</v>
      </c>
      <c r="AH1651" t="s">
        <v>359</v>
      </c>
    </row>
    <row r="1652" spans="1:34" ht="15.75">
      <c r="A1652" s="39">
        <f t="shared" si="25"/>
        <v>68</v>
      </c>
      <c r="B1652" s="8">
        <v>656</v>
      </c>
      <c r="C1652" s="8">
        <v>9</v>
      </c>
      <c r="D1652" s="2">
        <v>1817</v>
      </c>
      <c r="E1652">
        <v>6737</v>
      </c>
      <c r="F1652" s="9"/>
      <c r="G1652" s="7"/>
      <c r="H1652" s="9" t="s">
        <v>1541</v>
      </c>
      <c r="I1652" s="8">
        <v>68</v>
      </c>
      <c r="J1652" s="8">
        <v>0</v>
      </c>
      <c r="K1652" s="2" t="s">
        <v>1277</v>
      </c>
      <c r="L1652" s="43" t="s">
        <v>3336</v>
      </c>
      <c r="P1652" s="41">
        <v>17</v>
      </c>
      <c r="Q1652" s="41">
        <v>12</v>
      </c>
      <c r="R1652" s="41">
        <v>32</v>
      </c>
      <c r="S1652" t="s">
        <v>3321</v>
      </c>
      <c r="AH1652" t="s">
        <v>359</v>
      </c>
    </row>
    <row r="1653" spans="1:34" ht="15.75">
      <c r="A1653" s="29">
        <f t="shared" si="25"/>
        <v>200</v>
      </c>
      <c r="B1653" s="8">
        <v>656</v>
      </c>
      <c r="C1653" s="8">
        <v>9</v>
      </c>
      <c r="D1653" s="2">
        <v>1817</v>
      </c>
      <c r="E1653">
        <v>6738</v>
      </c>
      <c r="F1653" s="9"/>
      <c r="G1653" s="7"/>
      <c r="H1653" s="9" t="s">
        <v>1541</v>
      </c>
      <c r="I1653" s="8">
        <v>200</v>
      </c>
      <c r="J1653" s="8">
        <v>0</v>
      </c>
      <c r="K1653" s="2" t="s">
        <v>1277</v>
      </c>
      <c r="L1653" s="43" t="s">
        <v>5995</v>
      </c>
      <c r="P1653" s="41">
        <v>26</v>
      </c>
      <c r="Q1653" s="41">
        <v>3</v>
      </c>
      <c r="R1653" s="41" t="s">
        <v>1547</v>
      </c>
      <c r="S1653" t="s">
        <v>3321</v>
      </c>
      <c r="T1653" t="s">
        <v>5037</v>
      </c>
      <c r="AH1653" t="s">
        <v>359</v>
      </c>
    </row>
    <row r="1654" spans="1:34" ht="15.75">
      <c r="A1654" s="29">
        <f t="shared" si="25"/>
        <v>8195</v>
      </c>
      <c r="B1654" s="8">
        <v>656</v>
      </c>
      <c r="C1654" s="8">
        <v>9</v>
      </c>
      <c r="D1654" s="2">
        <v>1817</v>
      </c>
      <c r="E1654">
        <v>6739</v>
      </c>
      <c r="F1654" s="9"/>
      <c r="G1654" s="7"/>
      <c r="H1654" s="9" t="s">
        <v>1540</v>
      </c>
      <c r="I1654" s="8">
        <v>8195</v>
      </c>
      <c r="J1654" s="8">
        <v>0</v>
      </c>
      <c r="K1654" s="2" t="s">
        <v>1277</v>
      </c>
      <c r="L1654" s="43" t="s">
        <v>3337</v>
      </c>
      <c r="P1654" s="41">
        <v>29</v>
      </c>
      <c r="Q1654" s="41">
        <v>1</v>
      </c>
      <c r="R1654" s="41">
        <v>40</v>
      </c>
      <c r="S1654" t="s">
        <v>3321</v>
      </c>
      <c r="U1654" t="s">
        <v>3635</v>
      </c>
      <c r="AH1654" t="s">
        <v>359</v>
      </c>
    </row>
    <row r="1655" spans="1:34" ht="15.75">
      <c r="A1655" s="29">
        <f t="shared" si="25"/>
        <v>16206.6</v>
      </c>
      <c r="B1655" s="8">
        <v>656</v>
      </c>
      <c r="C1655" s="8">
        <v>9</v>
      </c>
      <c r="D1655" s="2">
        <v>1817</v>
      </c>
      <c r="E1655">
        <v>6740</v>
      </c>
      <c r="F1655" s="9"/>
      <c r="G1655" s="7"/>
      <c r="H1655" s="9" t="s">
        <v>1541</v>
      </c>
      <c r="I1655" s="8">
        <v>2571</v>
      </c>
      <c r="J1655" s="8">
        <v>2066</v>
      </c>
      <c r="K1655" s="2" t="s">
        <v>1277</v>
      </c>
      <c r="L1655" s="43" t="s">
        <v>5038</v>
      </c>
      <c r="M1655" s="41" t="s">
        <v>5040</v>
      </c>
      <c r="O1655" s="41" t="s">
        <v>5041</v>
      </c>
      <c r="P1655" s="41">
        <v>5</v>
      </c>
      <c r="Q1655" s="41">
        <v>2</v>
      </c>
      <c r="R1655" s="41">
        <v>64</v>
      </c>
      <c r="S1655" t="s">
        <v>5039</v>
      </c>
      <c r="T1655" t="s">
        <v>4649</v>
      </c>
      <c r="V1655" t="s">
        <v>1663</v>
      </c>
      <c r="X1655">
        <v>0.33</v>
      </c>
      <c r="Y1655" t="s">
        <v>5042</v>
      </c>
      <c r="AH1655" t="s">
        <v>359</v>
      </c>
    </row>
    <row r="1656" spans="1:34" ht="15.75">
      <c r="A1656" s="29">
        <f t="shared" si="25"/>
        <v>61321</v>
      </c>
      <c r="B1656" s="8">
        <v>656</v>
      </c>
      <c r="C1656" s="8">
        <v>9</v>
      </c>
      <c r="D1656" s="2">
        <v>1817</v>
      </c>
      <c r="E1656">
        <v>6741</v>
      </c>
      <c r="F1656" s="9"/>
      <c r="G1656" s="7"/>
      <c r="H1656" s="9" t="s">
        <v>1540</v>
      </c>
      <c r="I1656" s="8">
        <v>3321</v>
      </c>
      <c r="J1656" s="8">
        <v>2900</v>
      </c>
      <c r="K1656" s="2" t="s">
        <v>1277</v>
      </c>
      <c r="L1656" s="43" t="s">
        <v>5043</v>
      </c>
      <c r="M1656" s="41" t="s">
        <v>1683</v>
      </c>
      <c r="N1656" s="41" t="s">
        <v>667</v>
      </c>
      <c r="O1656" s="41" t="s">
        <v>5045</v>
      </c>
      <c r="P1656" s="41">
        <v>30</v>
      </c>
      <c r="Q1656" s="41">
        <v>12</v>
      </c>
      <c r="R1656" s="41">
        <v>61</v>
      </c>
      <c r="S1656" t="s">
        <v>5044</v>
      </c>
      <c r="T1656" t="s">
        <v>5046</v>
      </c>
      <c r="V1656" t="s">
        <v>5047</v>
      </c>
      <c r="X1656">
        <v>1</v>
      </c>
      <c r="Y1656" t="s">
        <v>5048</v>
      </c>
      <c r="AH1656" t="s">
        <v>359</v>
      </c>
    </row>
    <row r="1657" spans="1:34" ht="15.75">
      <c r="A1657" s="29">
        <f t="shared" si="25"/>
        <v>40</v>
      </c>
      <c r="B1657" s="8">
        <v>656</v>
      </c>
      <c r="C1657" s="8">
        <v>9</v>
      </c>
      <c r="D1657" s="2">
        <v>1817</v>
      </c>
      <c r="E1657">
        <v>6742</v>
      </c>
      <c r="F1657" s="9"/>
      <c r="G1657" s="7"/>
      <c r="H1657" s="9" t="s">
        <v>1541</v>
      </c>
      <c r="I1657" s="8">
        <v>40</v>
      </c>
      <c r="J1657" s="8">
        <v>0</v>
      </c>
      <c r="K1657" s="2" t="s">
        <v>1277</v>
      </c>
      <c r="L1657" s="43" t="s">
        <v>5049</v>
      </c>
      <c r="P1657" s="41">
        <v>24</v>
      </c>
      <c r="Q1657" s="41">
        <v>10</v>
      </c>
      <c r="R1657" s="41">
        <v>83</v>
      </c>
      <c r="S1657" t="s">
        <v>3329</v>
      </c>
      <c r="AH1657" t="s">
        <v>359</v>
      </c>
    </row>
    <row r="1658" spans="1:34" ht="15.75">
      <c r="A1658" s="29">
        <f t="shared" si="25"/>
        <v>17806</v>
      </c>
      <c r="B1658" s="8">
        <v>656</v>
      </c>
      <c r="C1658" s="8">
        <v>9</v>
      </c>
      <c r="D1658" s="2">
        <v>1817</v>
      </c>
      <c r="E1658">
        <v>6743</v>
      </c>
      <c r="F1658" s="9"/>
      <c r="G1658" s="7"/>
      <c r="H1658" s="9" t="s">
        <v>1540</v>
      </c>
      <c r="I1658" s="8">
        <v>3806</v>
      </c>
      <c r="J1658" s="8">
        <v>700</v>
      </c>
      <c r="K1658" s="2" t="s">
        <v>1277</v>
      </c>
      <c r="L1658" s="43" t="s">
        <v>5050</v>
      </c>
      <c r="M1658" s="43" t="s">
        <v>5052</v>
      </c>
      <c r="N1658" s="41" t="s">
        <v>5053</v>
      </c>
      <c r="O1658" s="41" t="s">
        <v>5054</v>
      </c>
      <c r="P1658" s="41">
        <v>22</v>
      </c>
      <c r="Q1658" s="41">
        <v>8</v>
      </c>
      <c r="S1658" t="s">
        <v>5051</v>
      </c>
      <c r="T1658" t="s">
        <v>5055</v>
      </c>
      <c r="V1658" t="s">
        <v>5056</v>
      </c>
      <c r="X1658">
        <v>1</v>
      </c>
      <c r="Y1658" t="s">
        <v>5057</v>
      </c>
      <c r="AH1658" t="s">
        <v>359</v>
      </c>
    </row>
    <row r="1659" spans="1:34" ht="15.75">
      <c r="A1659" s="29">
        <f t="shared" si="25"/>
        <v>60</v>
      </c>
      <c r="B1659" s="2">
        <v>656</v>
      </c>
      <c r="C1659" s="2">
        <v>9</v>
      </c>
      <c r="D1659" s="2">
        <v>1817</v>
      </c>
      <c r="E1659">
        <v>6744</v>
      </c>
      <c r="G1659" s="1"/>
      <c r="H1659" t="s">
        <v>1541</v>
      </c>
      <c r="I1659" s="2">
        <v>60</v>
      </c>
      <c r="J1659" s="2">
        <v>0</v>
      </c>
      <c r="K1659" s="2" t="s">
        <v>1277</v>
      </c>
      <c r="L1659" s="43" t="s">
        <v>5058</v>
      </c>
      <c r="P1659" s="41">
        <v>21</v>
      </c>
      <c r="Q1659" s="41">
        <v>1</v>
      </c>
      <c r="R1659" s="41">
        <v>72</v>
      </c>
      <c r="S1659" t="s">
        <v>3329</v>
      </c>
      <c r="AH1659" t="s">
        <v>359</v>
      </c>
    </row>
    <row r="1660" spans="1:34" ht="15.75">
      <c r="A1660" s="29">
        <f t="shared" si="25"/>
        <v>464</v>
      </c>
      <c r="B1660" s="2">
        <v>407</v>
      </c>
      <c r="C1660" s="2">
        <v>9</v>
      </c>
      <c r="D1660" s="2">
        <v>1817</v>
      </c>
      <c r="E1660">
        <v>6771</v>
      </c>
      <c r="G1660" s="1"/>
      <c r="H1660" t="s">
        <v>850</v>
      </c>
      <c r="I1660" s="2">
        <v>464</v>
      </c>
      <c r="J1660" s="2"/>
      <c r="K1660" s="2" t="s">
        <v>866</v>
      </c>
      <c r="L1660" s="43" t="s">
        <v>5059</v>
      </c>
      <c r="P1660" s="41">
        <v>19</v>
      </c>
      <c r="Q1660" s="41">
        <v>1</v>
      </c>
      <c r="R1660" s="41" t="s">
        <v>1547</v>
      </c>
      <c r="V1660" t="s">
        <v>5060</v>
      </c>
      <c r="AH1660" t="s">
        <v>359</v>
      </c>
    </row>
    <row r="1661" spans="1:34" ht="15.75">
      <c r="A1661" s="29">
        <f t="shared" si="25"/>
        <v>36000</v>
      </c>
      <c r="B1661" s="2">
        <v>407</v>
      </c>
      <c r="C1661" s="2">
        <v>9</v>
      </c>
      <c r="D1661" s="2">
        <v>1817</v>
      </c>
      <c r="E1661">
        <v>6772</v>
      </c>
      <c r="G1661" s="1"/>
      <c r="H1661" t="s">
        <v>1549</v>
      </c>
      <c r="I1661" s="2">
        <v>36000</v>
      </c>
      <c r="J1661" s="2"/>
      <c r="K1661" s="2" t="s">
        <v>866</v>
      </c>
      <c r="L1661" s="43" t="s">
        <v>5061</v>
      </c>
      <c r="M1661" s="41" t="s">
        <v>4721</v>
      </c>
      <c r="N1661" s="41" t="s">
        <v>1545</v>
      </c>
      <c r="O1661" s="41" t="s">
        <v>5062</v>
      </c>
      <c r="P1661" s="41">
        <v>16</v>
      </c>
      <c r="Q1661" s="41">
        <v>3</v>
      </c>
      <c r="R1661" s="41" t="s">
        <v>1547</v>
      </c>
      <c r="V1661" t="s">
        <v>5063</v>
      </c>
      <c r="AH1661" t="s">
        <v>359</v>
      </c>
    </row>
    <row r="1662" spans="1:34" ht="15.75">
      <c r="A1662" s="29">
        <f t="shared" si="25"/>
        <v>465</v>
      </c>
      <c r="B1662" s="2">
        <v>657</v>
      </c>
      <c r="C1662" s="2">
        <v>9</v>
      </c>
      <c r="D1662" s="2">
        <v>1817</v>
      </c>
      <c r="E1662">
        <v>6773</v>
      </c>
      <c r="G1662" s="1"/>
      <c r="H1662" s="1" t="s">
        <v>1540</v>
      </c>
      <c r="I1662" s="2">
        <v>465</v>
      </c>
      <c r="J1662" s="2">
        <v>0</v>
      </c>
      <c r="K1662" s="2" t="s">
        <v>866</v>
      </c>
      <c r="L1662" s="43" t="s">
        <v>972</v>
      </c>
      <c r="P1662" s="41">
        <v>23</v>
      </c>
      <c r="Q1662" s="41">
        <v>1</v>
      </c>
      <c r="R1662" s="41">
        <v>71</v>
      </c>
      <c r="S1662" t="s">
        <v>3321</v>
      </c>
      <c r="AH1662" t="s">
        <v>359</v>
      </c>
    </row>
    <row r="1663" spans="1:34" ht="15.75">
      <c r="A1663" s="39">
        <f t="shared" si="25"/>
        <v>14785</v>
      </c>
      <c r="B1663" s="8">
        <v>657</v>
      </c>
      <c r="C1663" s="2">
        <v>9</v>
      </c>
      <c r="D1663" s="2">
        <v>1817</v>
      </c>
      <c r="E1663">
        <v>6774</v>
      </c>
      <c r="F1663" s="9"/>
      <c r="G1663" s="7"/>
      <c r="H1663" s="7" t="s">
        <v>1541</v>
      </c>
      <c r="I1663" s="8">
        <v>7465</v>
      </c>
      <c r="J1663" s="8">
        <v>366</v>
      </c>
      <c r="K1663" s="2" t="s">
        <v>866</v>
      </c>
      <c r="L1663" s="43" t="s">
        <v>972</v>
      </c>
      <c r="P1663" s="41">
        <v>2</v>
      </c>
      <c r="Q1663" s="41">
        <v>9</v>
      </c>
      <c r="R1663" s="41" t="s">
        <v>1547</v>
      </c>
      <c r="S1663" t="s">
        <v>3329</v>
      </c>
      <c r="X1663">
        <v>1</v>
      </c>
      <c r="Y1663" t="s">
        <v>5064</v>
      </c>
      <c r="AH1663" t="s">
        <v>359</v>
      </c>
    </row>
    <row r="1664" spans="1:34" ht="15.75">
      <c r="A1664" s="29">
        <f t="shared" si="25"/>
        <v>278</v>
      </c>
      <c r="B1664" s="8">
        <v>657</v>
      </c>
      <c r="C1664" s="2">
        <v>9</v>
      </c>
      <c r="D1664" s="2">
        <v>1817</v>
      </c>
      <c r="E1664">
        <v>6775</v>
      </c>
      <c r="F1664" s="9"/>
      <c r="G1664" s="7"/>
      <c r="H1664" s="7" t="s">
        <v>1541</v>
      </c>
      <c r="I1664" s="8">
        <v>278</v>
      </c>
      <c r="J1664" s="8">
        <v>0</v>
      </c>
      <c r="K1664" s="2" t="s">
        <v>866</v>
      </c>
      <c r="L1664" s="43" t="s">
        <v>972</v>
      </c>
      <c r="P1664" s="41">
        <v>23</v>
      </c>
      <c r="Q1664" s="41">
        <v>11</v>
      </c>
      <c r="R1664" s="41">
        <v>63</v>
      </c>
      <c r="S1664" t="s">
        <v>3321</v>
      </c>
      <c r="AH1664" t="s">
        <v>359</v>
      </c>
    </row>
    <row r="1665" spans="1:34" ht="15.75">
      <c r="A1665" s="29">
        <f t="shared" si="25"/>
        <v>3581</v>
      </c>
      <c r="B1665" s="8">
        <v>657</v>
      </c>
      <c r="C1665" s="2">
        <v>9</v>
      </c>
      <c r="D1665" s="8">
        <v>1817</v>
      </c>
      <c r="E1665">
        <v>6776</v>
      </c>
      <c r="F1665" s="9"/>
      <c r="G1665" s="7"/>
      <c r="H1665" s="7" t="s">
        <v>1541</v>
      </c>
      <c r="I1665" s="8">
        <v>81</v>
      </c>
      <c r="J1665" s="8">
        <v>175</v>
      </c>
      <c r="K1665" s="2" t="s">
        <v>866</v>
      </c>
      <c r="L1665" s="43" t="s">
        <v>5760</v>
      </c>
      <c r="P1665" s="41">
        <v>18</v>
      </c>
      <c r="Q1665" s="41">
        <v>7</v>
      </c>
      <c r="R1665" s="41" t="s">
        <v>1547</v>
      </c>
      <c r="S1665" t="s">
        <v>3352</v>
      </c>
      <c r="T1665" t="s">
        <v>5065</v>
      </c>
      <c r="X1665">
        <v>1</v>
      </c>
      <c r="Y1665" t="s">
        <v>5066</v>
      </c>
      <c r="AH1665" t="s">
        <v>359</v>
      </c>
    </row>
    <row r="1666" spans="1:34" ht="15.75">
      <c r="A1666" s="29">
        <f aca="true" t="shared" si="26" ref="A1666:A1729">I1666+J1666*20*X1666</f>
        <v>153</v>
      </c>
      <c r="B1666" s="8">
        <v>657</v>
      </c>
      <c r="C1666" s="2">
        <v>9</v>
      </c>
      <c r="D1666" s="2">
        <v>1817</v>
      </c>
      <c r="E1666">
        <v>6777</v>
      </c>
      <c r="F1666" s="9"/>
      <c r="G1666" s="7"/>
      <c r="H1666" s="7" t="s">
        <v>1541</v>
      </c>
      <c r="I1666" s="8">
        <v>153</v>
      </c>
      <c r="J1666" s="8">
        <v>0</v>
      </c>
      <c r="K1666" s="2" t="s">
        <v>866</v>
      </c>
      <c r="L1666" s="43" t="s">
        <v>5237</v>
      </c>
      <c r="P1666" s="41">
        <v>9</v>
      </c>
      <c r="Q1666" s="41">
        <v>8</v>
      </c>
      <c r="R1666" s="41">
        <v>34</v>
      </c>
      <c r="S1666" t="s">
        <v>3321</v>
      </c>
      <c r="AH1666" t="s">
        <v>359</v>
      </c>
    </row>
    <row r="1667" spans="1:34" ht="15.75">
      <c r="A1667" s="29">
        <f t="shared" si="26"/>
        <v>80</v>
      </c>
      <c r="B1667" s="8">
        <v>657</v>
      </c>
      <c r="C1667" s="2">
        <v>9</v>
      </c>
      <c r="D1667" s="2">
        <v>1817</v>
      </c>
      <c r="E1667">
        <v>6778</v>
      </c>
      <c r="F1667" s="9"/>
      <c r="G1667" s="7"/>
      <c r="H1667" s="7" t="s">
        <v>1540</v>
      </c>
      <c r="I1667" s="8">
        <v>80</v>
      </c>
      <c r="J1667" s="8">
        <v>0</v>
      </c>
      <c r="K1667" s="2" t="s">
        <v>866</v>
      </c>
      <c r="L1667" s="43" t="s">
        <v>5239</v>
      </c>
      <c r="P1667" s="41">
        <v>5</v>
      </c>
      <c r="Q1667" s="41">
        <v>1</v>
      </c>
      <c r="R1667" s="41">
        <v>26</v>
      </c>
      <c r="S1667" t="s">
        <v>3343</v>
      </c>
      <c r="AH1667" t="s">
        <v>359</v>
      </c>
    </row>
    <row r="1668" spans="1:34" ht="15.75">
      <c r="A1668" s="29">
        <f t="shared" si="26"/>
        <v>1949</v>
      </c>
      <c r="B1668" s="8">
        <v>657</v>
      </c>
      <c r="C1668" s="2">
        <v>9</v>
      </c>
      <c r="D1668" s="2">
        <v>1817</v>
      </c>
      <c r="E1668">
        <v>6779</v>
      </c>
      <c r="F1668" s="9"/>
      <c r="G1668" s="7"/>
      <c r="H1668" s="7" t="s">
        <v>1541</v>
      </c>
      <c r="I1668" s="8">
        <v>1949</v>
      </c>
      <c r="J1668" s="8">
        <v>0</v>
      </c>
      <c r="K1668" s="2" t="s">
        <v>866</v>
      </c>
      <c r="L1668" s="43" t="s">
        <v>5240</v>
      </c>
      <c r="P1668" s="41">
        <v>3</v>
      </c>
      <c r="Q1668" s="41">
        <v>1</v>
      </c>
      <c r="R1668" s="41">
        <v>82</v>
      </c>
      <c r="S1668" t="s">
        <v>3329</v>
      </c>
      <c r="AH1668" t="s">
        <v>359</v>
      </c>
    </row>
    <row r="1669" spans="1:34" ht="15.75">
      <c r="A1669" s="29">
        <f t="shared" si="26"/>
        <v>235</v>
      </c>
      <c r="B1669" s="8">
        <v>657</v>
      </c>
      <c r="C1669" s="2">
        <v>9</v>
      </c>
      <c r="D1669" s="2">
        <v>1817</v>
      </c>
      <c r="E1669">
        <v>6780</v>
      </c>
      <c r="F1669" s="9"/>
      <c r="G1669" s="7"/>
      <c r="H1669" s="7" t="s">
        <v>1540</v>
      </c>
      <c r="I1669" s="8">
        <v>235</v>
      </c>
      <c r="J1669" s="8">
        <v>0</v>
      </c>
      <c r="K1669" s="2" t="s">
        <v>866</v>
      </c>
      <c r="L1669" s="43" t="s">
        <v>5242</v>
      </c>
      <c r="P1669" s="41">
        <v>16</v>
      </c>
      <c r="Q1669" s="41">
        <v>4</v>
      </c>
      <c r="R1669" s="41">
        <v>51</v>
      </c>
      <c r="S1669" t="s">
        <v>3321</v>
      </c>
      <c r="AH1669" t="s">
        <v>359</v>
      </c>
    </row>
    <row r="1670" spans="1:34" ht="15.75">
      <c r="A1670" s="29">
        <f t="shared" si="26"/>
        <v>237955</v>
      </c>
      <c r="B1670" s="8">
        <v>657</v>
      </c>
      <c r="C1670" s="2">
        <v>9</v>
      </c>
      <c r="D1670" s="2">
        <v>1817</v>
      </c>
      <c r="E1670">
        <v>6781</v>
      </c>
      <c r="F1670" s="9"/>
      <c r="G1670" s="7"/>
      <c r="H1670" s="7" t="s">
        <v>1541</v>
      </c>
      <c r="I1670" s="8">
        <f>2479+66676</f>
        <v>69155</v>
      </c>
      <c r="J1670" s="8">
        <f>2400+6040</f>
        <v>8440</v>
      </c>
      <c r="K1670" s="2" t="s">
        <v>866</v>
      </c>
      <c r="L1670" s="43" t="s">
        <v>846</v>
      </c>
      <c r="M1670" s="41" t="s">
        <v>5067</v>
      </c>
      <c r="N1670" s="41" t="s">
        <v>1555</v>
      </c>
      <c r="O1670" s="41" t="s">
        <v>5068</v>
      </c>
      <c r="P1670" s="41">
        <v>16</v>
      </c>
      <c r="Q1670" s="41">
        <v>6</v>
      </c>
      <c r="R1670" s="41">
        <v>80</v>
      </c>
      <c r="S1670" t="s">
        <v>3440</v>
      </c>
      <c r="T1670" t="s">
        <v>4649</v>
      </c>
      <c r="V1670" t="s">
        <v>5069</v>
      </c>
      <c r="X1670">
        <v>1</v>
      </c>
      <c r="Y1670" t="s">
        <v>5070</v>
      </c>
      <c r="AH1670" t="s">
        <v>359</v>
      </c>
    </row>
    <row r="1671" spans="1:34" ht="15.75">
      <c r="A1671" s="29">
        <f t="shared" si="26"/>
        <v>1298</v>
      </c>
      <c r="B1671" s="8">
        <v>657</v>
      </c>
      <c r="C1671" s="2">
        <v>9</v>
      </c>
      <c r="D1671" s="2">
        <v>1817</v>
      </c>
      <c r="E1671">
        <v>6782</v>
      </c>
      <c r="F1671" s="9"/>
      <c r="G1671" s="7"/>
      <c r="H1671" s="7" t="s">
        <v>1540</v>
      </c>
      <c r="I1671" s="8">
        <v>1298</v>
      </c>
      <c r="J1671" s="8">
        <v>0</v>
      </c>
      <c r="K1671" s="2" t="s">
        <v>866</v>
      </c>
      <c r="L1671" s="43" t="s">
        <v>5242</v>
      </c>
      <c r="P1671" s="41">
        <v>11</v>
      </c>
      <c r="Q1671" s="41">
        <v>11</v>
      </c>
      <c r="R1671" s="41">
        <v>67</v>
      </c>
      <c r="S1671" t="s">
        <v>3324</v>
      </c>
      <c r="AH1671" t="s">
        <v>359</v>
      </c>
    </row>
    <row r="1672" spans="1:34" ht="15.75">
      <c r="A1672" s="29">
        <f t="shared" si="26"/>
        <v>30512</v>
      </c>
      <c r="B1672" s="8">
        <v>657</v>
      </c>
      <c r="C1672" s="2">
        <v>9</v>
      </c>
      <c r="D1672" s="2">
        <v>1817</v>
      </c>
      <c r="E1672">
        <v>6783</v>
      </c>
      <c r="F1672" s="9"/>
      <c r="G1672" s="7"/>
      <c r="H1672" s="7" t="s">
        <v>1541</v>
      </c>
      <c r="I1672" s="8">
        <v>30512</v>
      </c>
      <c r="J1672" s="8">
        <v>0</v>
      </c>
      <c r="K1672" s="2" t="s">
        <v>866</v>
      </c>
      <c r="L1672" s="43" t="s">
        <v>5071</v>
      </c>
      <c r="M1672" s="41" t="s">
        <v>3528</v>
      </c>
      <c r="O1672" s="41" t="s">
        <v>5073</v>
      </c>
      <c r="P1672" s="41">
        <v>29</v>
      </c>
      <c r="Q1672" s="41">
        <v>4</v>
      </c>
      <c r="R1672" s="41">
        <v>97</v>
      </c>
      <c r="S1672" t="s">
        <v>5072</v>
      </c>
      <c r="T1672" t="s">
        <v>4784</v>
      </c>
      <c r="V1672" t="s">
        <v>5074</v>
      </c>
      <c r="AH1672" t="s">
        <v>359</v>
      </c>
    </row>
    <row r="1673" spans="1:34" ht="15.75">
      <c r="A1673" s="29">
        <f t="shared" si="26"/>
        <v>91</v>
      </c>
      <c r="B1673" s="2">
        <v>657</v>
      </c>
      <c r="C1673" s="2">
        <v>9</v>
      </c>
      <c r="D1673" s="2">
        <v>1817</v>
      </c>
      <c r="E1673">
        <v>6784</v>
      </c>
      <c r="G1673" s="1"/>
      <c r="H1673" s="1" t="s">
        <v>1540</v>
      </c>
      <c r="I1673" s="2">
        <v>91</v>
      </c>
      <c r="J1673" s="2">
        <v>0</v>
      </c>
      <c r="K1673" s="2" t="s">
        <v>866</v>
      </c>
      <c r="L1673" s="43" t="s">
        <v>5075</v>
      </c>
      <c r="P1673" s="41">
        <v>31</v>
      </c>
      <c r="Q1673" s="41">
        <v>7</v>
      </c>
      <c r="R1673" s="41" t="s">
        <v>1547</v>
      </c>
      <c r="S1673" t="s">
        <v>1547</v>
      </c>
      <c r="T1673" t="s">
        <v>3350</v>
      </c>
      <c r="AH1673" t="s">
        <v>359</v>
      </c>
    </row>
    <row r="1674" spans="1:34" ht="15.75">
      <c r="A1674" s="39">
        <f t="shared" si="26"/>
        <v>1104</v>
      </c>
      <c r="B1674" s="2">
        <v>657</v>
      </c>
      <c r="C1674" s="2">
        <v>9</v>
      </c>
      <c r="D1674" s="2">
        <v>1817</v>
      </c>
      <c r="E1674">
        <v>6785</v>
      </c>
      <c r="G1674" s="1"/>
      <c r="H1674" s="1" t="s">
        <v>1540</v>
      </c>
      <c r="I1674" s="2">
        <v>1104</v>
      </c>
      <c r="J1674" s="2">
        <v>0</v>
      </c>
      <c r="K1674" s="2" t="s">
        <v>866</v>
      </c>
      <c r="L1674" s="43" t="s">
        <v>5245</v>
      </c>
      <c r="N1674" s="41" t="s">
        <v>3347</v>
      </c>
      <c r="P1674" s="41">
        <v>25</v>
      </c>
      <c r="Q1674" s="41">
        <v>7</v>
      </c>
      <c r="R1674" s="41">
        <v>3</v>
      </c>
      <c r="S1674" t="s">
        <v>3343</v>
      </c>
      <c r="AH1674" t="s">
        <v>359</v>
      </c>
    </row>
    <row r="1675" spans="1:34" ht="15.75">
      <c r="A1675" s="29">
        <f t="shared" si="26"/>
        <v>121</v>
      </c>
      <c r="B1675" s="2">
        <v>657</v>
      </c>
      <c r="C1675" s="2">
        <v>9</v>
      </c>
      <c r="D1675" s="2">
        <v>1817</v>
      </c>
      <c r="E1675">
        <v>6786</v>
      </c>
      <c r="G1675" s="1"/>
      <c r="H1675" s="1" t="s">
        <v>1541</v>
      </c>
      <c r="I1675" s="2">
        <v>121</v>
      </c>
      <c r="J1675" s="2">
        <v>0</v>
      </c>
      <c r="K1675" s="2" t="s">
        <v>866</v>
      </c>
      <c r="L1675" s="43" t="s">
        <v>5248</v>
      </c>
      <c r="P1675" s="41">
        <v>21</v>
      </c>
      <c r="Q1675" s="41">
        <v>12</v>
      </c>
      <c r="R1675" s="41">
        <v>26</v>
      </c>
      <c r="S1675" t="s">
        <v>3321</v>
      </c>
      <c r="AH1675" t="s">
        <v>359</v>
      </c>
    </row>
    <row r="1676" spans="1:34" ht="15.75">
      <c r="A1676" s="29">
        <f t="shared" si="26"/>
        <v>67</v>
      </c>
      <c r="B1676" s="2">
        <v>657</v>
      </c>
      <c r="C1676" s="2">
        <v>9</v>
      </c>
      <c r="D1676" s="2">
        <v>1817</v>
      </c>
      <c r="E1676">
        <v>6787</v>
      </c>
      <c r="G1676" s="1"/>
      <c r="H1676" s="1" t="s">
        <v>1541</v>
      </c>
      <c r="I1676" s="2">
        <v>67</v>
      </c>
      <c r="J1676" s="2">
        <v>0</v>
      </c>
      <c r="K1676" s="2" t="s">
        <v>866</v>
      </c>
      <c r="L1676" s="43" t="s">
        <v>5248</v>
      </c>
      <c r="P1676" s="41">
        <v>21</v>
      </c>
      <c r="Q1676" s="41">
        <v>2</v>
      </c>
      <c r="R1676" s="41">
        <v>49</v>
      </c>
      <c r="S1676" t="s">
        <v>3321</v>
      </c>
      <c r="AH1676" t="s">
        <v>359</v>
      </c>
    </row>
    <row r="1677" spans="1:34" ht="15.75">
      <c r="A1677" s="29">
        <f t="shared" si="26"/>
        <v>130233</v>
      </c>
      <c r="B1677" s="8">
        <v>658</v>
      </c>
      <c r="C1677" s="2">
        <v>9</v>
      </c>
      <c r="D1677" s="2">
        <v>1817</v>
      </c>
      <c r="E1677">
        <v>6818</v>
      </c>
      <c r="F1677" s="9"/>
      <c r="G1677" s="7"/>
      <c r="H1677" s="7" t="s">
        <v>1541</v>
      </c>
      <c r="I1677" s="8">
        <v>130233</v>
      </c>
      <c r="J1677" s="8">
        <v>0</v>
      </c>
      <c r="K1677" s="2" t="s">
        <v>866</v>
      </c>
      <c r="L1677" s="43" t="s">
        <v>5076</v>
      </c>
      <c r="M1677" s="41" t="s">
        <v>2772</v>
      </c>
      <c r="O1677" s="41" t="s">
        <v>5078</v>
      </c>
      <c r="P1677" s="41">
        <v>28</v>
      </c>
      <c r="Q1677" s="41">
        <v>3</v>
      </c>
      <c r="R1677" s="41">
        <v>49</v>
      </c>
      <c r="S1677" t="s">
        <v>5077</v>
      </c>
      <c r="T1677" t="s">
        <v>5079</v>
      </c>
      <c r="V1677" t="s">
        <v>1513</v>
      </c>
      <c r="AH1677" t="s">
        <v>359</v>
      </c>
    </row>
    <row r="1678" spans="1:34" ht="15.75">
      <c r="A1678" s="29">
        <f t="shared" si="26"/>
        <v>179</v>
      </c>
      <c r="B1678" s="8">
        <v>658</v>
      </c>
      <c r="C1678" s="2">
        <v>9</v>
      </c>
      <c r="D1678" s="2">
        <v>1817</v>
      </c>
      <c r="E1678">
        <v>6819</v>
      </c>
      <c r="F1678" s="9"/>
      <c r="G1678" s="7"/>
      <c r="H1678" s="7" t="s">
        <v>1541</v>
      </c>
      <c r="I1678" s="8">
        <v>179</v>
      </c>
      <c r="J1678" s="8">
        <v>0</v>
      </c>
      <c r="K1678" s="2" t="s">
        <v>866</v>
      </c>
      <c r="L1678" s="43" t="s">
        <v>5261</v>
      </c>
      <c r="P1678" s="41">
        <v>26</v>
      </c>
      <c r="Q1678" s="41">
        <v>5</v>
      </c>
      <c r="R1678" s="41">
        <v>75</v>
      </c>
      <c r="S1678" t="s">
        <v>3343</v>
      </c>
      <c r="AH1678" t="s">
        <v>359</v>
      </c>
    </row>
    <row r="1679" spans="1:34" ht="15.75">
      <c r="A1679" s="29">
        <f t="shared" si="26"/>
        <v>48</v>
      </c>
      <c r="B1679" s="8">
        <v>658</v>
      </c>
      <c r="C1679" s="2">
        <v>9</v>
      </c>
      <c r="D1679" s="2">
        <v>1817</v>
      </c>
      <c r="E1679">
        <v>6820</v>
      </c>
      <c r="F1679" s="9"/>
      <c r="G1679" s="7"/>
      <c r="H1679" s="7" t="s">
        <v>1540</v>
      </c>
      <c r="I1679" s="8">
        <v>48</v>
      </c>
      <c r="J1679" s="8">
        <v>0</v>
      </c>
      <c r="K1679" s="2" t="s">
        <v>866</v>
      </c>
      <c r="L1679" s="43" t="s">
        <v>3345</v>
      </c>
      <c r="P1679" s="41">
        <v>1</v>
      </c>
      <c r="Q1679" s="41">
        <v>3</v>
      </c>
      <c r="R1679" s="41">
        <v>47</v>
      </c>
      <c r="S1679" t="s">
        <v>3321</v>
      </c>
      <c r="AH1679" t="s">
        <v>359</v>
      </c>
    </row>
    <row r="1680" spans="1:34" ht="15.75">
      <c r="A1680" s="29">
        <f t="shared" si="26"/>
        <v>3660</v>
      </c>
      <c r="B1680" s="8">
        <v>658</v>
      </c>
      <c r="C1680" s="2">
        <v>9</v>
      </c>
      <c r="D1680" s="8">
        <v>1817</v>
      </c>
      <c r="E1680">
        <v>6821</v>
      </c>
      <c r="F1680" s="9"/>
      <c r="G1680" s="7"/>
      <c r="H1680" s="7" t="s">
        <v>1541</v>
      </c>
      <c r="I1680" s="8">
        <v>0</v>
      </c>
      <c r="J1680" s="8">
        <v>183</v>
      </c>
      <c r="K1680" s="2" t="s">
        <v>866</v>
      </c>
      <c r="L1680" s="43" t="s">
        <v>4923</v>
      </c>
      <c r="O1680" s="41" t="s">
        <v>5080</v>
      </c>
      <c r="P1680" s="41">
        <v>12</v>
      </c>
      <c r="Q1680" s="41">
        <v>7</v>
      </c>
      <c r="R1680" s="41" t="s">
        <v>1547</v>
      </c>
      <c r="S1680" t="s">
        <v>3321</v>
      </c>
      <c r="X1680">
        <v>1</v>
      </c>
      <c r="Y1680" t="s">
        <v>5081</v>
      </c>
      <c r="AH1680" t="s">
        <v>359</v>
      </c>
    </row>
    <row r="1681" spans="1:34" ht="15.75">
      <c r="A1681" s="29">
        <f t="shared" si="26"/>
        <v>69896</v>
      </c>
      <c r="B1681" s="8">
        <v>658</v>
      </c>
      <c r="C1681" s="2">
        <v>9</v>
      </c>
      <c r="D1681" s="2">
        <v>1817</v>
      </c>
      <c r="E1681">
        <v>6822</v>
      </c>
      <c r="F1681" s="9"/>
      <c r="G1681" s="7"/>
      <c r="H1681" s="7" t="s">
        <v>1540</v>
      </c>
      <c r="I1681" s="8">
        <f>50000+19896</f>
        <v>69896</v>
      </c>
      <c r="J1681" s="8">
        <v>0</v>
      </c>
      <c r="K1681" s="2" t="s">
        <v>866</v>
      </c>
      <c r="L1681" s="43" t="s">
        <v>3529</v>
      </c>
      <c r="M1681" s="41" t="s">
        <v>1298</v>
      </c>
      <c r="N1681" s="41" t="s">
        <v>5083</v>
      </c>
      <c r="O1681" s="41" t="s">
        <v>5084</v>
      </c>
      <c r="P1681" s="41">
        <v>6</v>
      </c>
      <c r="Q1681" s="41">
        <v>3</v>
      </c>
      <c r="R1681" s="41">
        <v>71</v>
      </c>
      <c r="S1681" t="s">
        <v>5082</v>
      </c>
      <c r="T1681" t="s">
        <v>881</v>
      </c>
      <c r="V1681" t="s">
        <v>5069</v>
      </c>
      <c r="AA1681" t="s">
        <v>3530</v>
      </c>
      <c r="AC1681" t="s">
        <v>5085</v>
      </c>
      <c r="AH1681" t="s">
        <v>359</v>
      </c>
    </row>
    <row r="1682" spans="1:34" ht="15.75">
      <c r="A1682" s="29">
        <f t="shared" si="26"/>
        <v>5149</v>
      </c>
      <c r="B1682" s="8">
        <v>658</v>
      </c>
      <c r="C1682" s="2">
        <v>9</v>
      </c>
      <c r="D1682" s="2">
        <v>1817</v>
      </c>
      <c r="E1682">
        <v>6823</v>
      </c>
      <c r="F1682" s="9"/>
      <c r="G1682" s="7"/>
      <c r="H1682" s="7" t="s">
        <v>1540</v>
      </c>
      <c r="I1682" s="8">
        <v>149</v>
      </c>
      <c r="J1682" s="8">
        <v>250</v>
      </c>
      <c r="K1682" s="2" t="s">
        <v>866</v>
      </c>
      <c r="L1682" s="43" t="s">
        <v>3346</v>
      </c>
      <c r="P1682" s="41">
        <v>7</v>
      </c>
      <c r="Q1682" s="41">
        <v>5</v>
      </c>
      <c r="R1682" s="41">
        <v>71</v>
      </c>
      <c r="S1682" t="s">
        <v>3321</v>
      </c>
      <c r="X1682">
        <v>1</v>
      </c>
      <c r="Y1682" t="s">
        <v>723</v>
      </c>
      <c r="AH1682" t="s">
        <v>359</v>
      </c>
    </row>
    <row r="1683" spans="1:34" ht="15.75">
      <c r="A1683" s="29">
        <f t="shared" si="26"/>
        <v>56374</v>
      </c>
      <c r="B1683" s="8">
        <v>658</v>
      </c>
      <c r="C1683" s="2">
        <v>9</v>
      </c>
      <c r="D1683" s="2">
        <v>1817</v>
      </c>
      <c r="E1683">
        <v>6824</v>
      </c>
      <c r="F1683" s="9"/>
      <c r="G1683" s="7"/>
      <c r="H1683" s="7" t="s">
        <v>1540</v>
      </c>
      <c r="I1683" s="8">
        <f>39874+4500</f>
        <v>44374</v>
      </c>
      <c r="J1683" s="8">
        <v>600</v>
      </c>
      <c r="K1683" s="2" t="s">
        <v>866</v>
      </c>
      <c r="L1683" s="43" t="s">
        <v>1485</v>
      </c>
      <c r="M1683" s="41" t="s">
        <v>725</v>
      </c>
      <c r="N1683" s="41" t="s">
        <v>726</v>
      </c>
      <c r="O1683" s="41" t="s">
        <v>727</v>
      </c>
      <c r="P1683" s="41">
        <v>3</v>
      </c>
      <c r="Q1683" s="41">
        <v>5</v>
      </c>
      <c r="R1683" s="41">
        <v>50</v>
      </c>
      <c r="S1683" t="s">
        <v>724</v>
      </c>
      <c r="T1683" s="2" t="s">
        <v>728</v>
      </c>
      <c r="V1683" s="2" t="s">
        <v>3266</v>
      </c>
      <c r="X1683">
        <v>1</v>
      </c>
      <c r="Y1683" t="s">
        <v>729</v>
      </c>
      <c r="AH1683" t="s">
        <v>359</v>
      </c>
    </row>
    <row r="1684" spans="1:34" ht="15.75">
      <c r="A1684" s="29">
        <f t="shared" si="26"/>
        <v>435</v>
      </c>
      <c r="B1684" s="8">
        <v>658</v>
      </c>
      <c r="C1684" s="2">
        <v>9</v>
      </c>
      <c r="D1684" s="2">
        <v>1817</v>
      </c>
      <c r="E1684">
        <v>6825</v>
      </c>
      <c r="F1684" s="9"/>
      <c r="G1684" s="7"/>
      <c r="H1684" s="7" t="s">
        <v>1549</v>
      </c>
      <c r="I1684" s="8">
        <f>203+232</f>
        <v>435</v>
      </c>
      <c r="J1684" s="8">
        <v>0</v>
      </c>
      <c r="K1684" s="2" t="s">
        <v>866</v>
      </c>
      <c r="L1684" s="43" t="s">
        <v>5852</v>
      </c>
      <c r="P1684" s="41">
        <v>10</v>
      </c>
      <c r="Q1684" s="41">
        <v>5</v>
      </c>
      <c r="R1684" s="41">
        <v>83</v>
      </c>
      <c r="S1684" t="s">
        <v>3324</v>
      </c>
      <c r="AH1684" t="s">
        <v>359</v>
      </c>
    </row>
    <row r="1685" spans="1:34" ht="15.75">
      <c r="A1685" s="29">
        <f t="shared" si="26"/>
        <v>2224</v>
      </c>
      <c r="B1685" s="8">
        <v>658</v>
      </c>
      <c r="C1685" s="2">
        <v>9</v>
      </c>
      <c r="D1685" s="2">
        <v>1817</v>
      </c>
      <c r="E1685">
        <v>6826</v>
      </c>
      <c r="F1685" s="9"/>
      <c r="G1685" s="7"/>
      <c r="H1685" s="7" t="s">
        <v>1541</v>
      </c>
      <c r="I1685" s="8">
        <v>2224</v>
      </c>
      <c r="J1685" s="8">
        <v>0</v>
      </c>
      <c r="K1685" s="2" t="s">
        <v>866</v>
      </c>
      <c r="L1685" s="43" t="s">
        <v>3345</v>
      </c>
      <c r="N1685" s="41" t="s">
        <v>3392</v>
      </c>
      <c r="P1685" s="41">
        <v>8</v>
      </c>
      <c r="Q1685" s="41">
        <v>12</v>
      </c>
      <c r="R1685" s="41">
        <v>13</v>
      </c>
      <c r="S1685" t="s">
        <v>3343</v>
      </c>
      <c r="AH1685" t="s">
        <v>359</v>
      </c>
    </row>
    <row r="1686" spans="1:34" ht="15.75">
      <c r="A1686" s="29">
        <f t="shared" si="26"/>
        <v>32</v>
      </c>
      <c r="B1686" s="8">
        <v>658</v>
      </c>
      <c r="C1686" s="2">
        <v>9</v>
      </c>
      <c r="D1686" s="2">
        <v>1817</v>
      </c>
      <c r="E1686">
        <v>6827</v>
      </c>
      <c r="F1686" s="9"/>
      <c r="G1686" s="7"/>
      <c r="H1686" s="7" t="s">
        <v>850</v>
      </c>
      <c r="I1686" s="8">
        <v>32</v>
      </c>
      <c r="J1686" s="8">
        <v>0</v>
      </c>
      <c r="K1686" s="2" t="s">
        <v>866</v>
      </c>
      <c r="L1686" s="43" t="s">
        <v>3346</v>
      </c>
      <c r="P1686" s="41">
        <v>26</v>
      </c>
      <c r="Q1686" s="41">
        <v>6</v>
      </c>
      <c r="R1686" s="41">
        <v>68</v>
      </c>
      <c r="S1686" t="s">
        <v>3343</v>
      </c>
      <c r="AH1686" t="s">
        <v>359</v>
      </c>
    </row>
    <row r="1687" spans="1:34" ht="15.75">
      <c r="A1687" s="29">
        <f t="shared" si="26"/>
        <v>989</v>
      </c>
      <c r="B1687" s="2">
        <v>659</v>
      </c>
      <c r="C1687" s="2">
        <v>9</v>
      </c>
      <c r="D1687" s="2">
        <v>1817</v>
      </c>
      <c r="E1687">
        <v>6848</v>
      </c>
      <c r="G1687" s="1"/>
      <c r="H1687" t="s">
        <v>1549</v>
      </c>
      <c r="I1687" s="2">
        <v>989</v>
      </c>
      <c r="J1687" s="2">
        <v>0</v>
      </c>
      <c r="K1687" s="2" t="s">
        <v>866</v>
      </c>
      <c r="L1687" s="43" t="s">
        <v>3353</v>
      </c>
      <c r="P1687" s="41">
        <v>22</v>
      </c>
      <c r="Q1687" s="41">
        <v>4</v>
      </c>
      <c r="R1687" s="41">
        <v>42</v>
      </c>
      <c r="S1687" t="s">
        <v>3321</v>
      </c>
      <c r="AH1687" t="s">
        <v>359</v>
      </c>
    </row>
    <row r="1688" spans="1:34" ht="15.75">
      <c r="A1688" s="29">
        <f t="shared" si="26"/>
        <v>1000</v>
      </c>
      <c r="B1688" s="2">
        <v>659</v>
      </c>
      <c r="C1688" s="2">
        <v>9</v>
      </c>
      <c r="D1688" s="2">
        <v>1817</v>
      </c>
      <c r="E1688">
        <v>6849</v>
      </c>
      <c r="G1688" s="1"/>
      <c r="H1688" s="1" t="s">
        <v>850</v>
      </c>
      <c r="I1688" s="2">
        <v>1000</v>
      </c>
      <c r="J1688" s="2">
        <v>0</v>
      </c>
      <c r="K1688" s="2" t="s">
        <v>866</v>
      </c>
      <c r="L1688" s="43" t="s">
        <v>3353</v>
      </c>
      <c r="P1688" s="41">
        <v>5</v>
      </c>
      <c r="Q1688" s="41">
        <v>8</v>
      </c>
      <c r="R1688" s="41">
        <v>56</v>
      </c>
      <c r="S1688" t="s">
        <v>3321</v>
      </c>
      <c r="AH1688" t="s">
        <v>359</v>
      </c>
    </row>
    <row r="1689" spans="1:34" ht="15.75">
      <c r="A1689" s="39">
        <f t="shared" si="26"/>
        <v>4707</v>
      </c>
      <c r="B1689" s="2">
        <v>659</v>
      </c>
      <c r="C1689" s="2">
        <v>9</v>
      </c>
      <c r="D1689" s="2">
        <v>1817</v>
      </c>
      <c r="E1689">
        <v>6850</v>
      </c>
      <c r="G1689" s="1"/>
      <c r="H1689" s="1" t="s">
        <v>1549</v>
      </c>
      <c r="I1689" s="2">
        <v>4707</v>
      </c>
      <c r="J1689" s="2">
        <v>0</v>
      </c>
      <c r="K1689" s="2" t="s">
        <v>866</v>
      </c>
      <c r="L1689" s="43" t="s">
        <v>3353</v>
      </c>
      <c r="P1689" s="41">
        <v>10</v>
      </c>
      <c r="Q1689" s="41">
        <v>12</v>
      </c>
      <c r="R1689" s="41">
        <v>62</v>
      </c>
      <c r="S1689" t="s">
        <v>3321</v>
      </c>
      <c r="AH1689" t="s">
        <v>359</v>
      </c>
    </row>
    <row r="1690" spans="1:34" ht="15.75">
      <c r="A1690" s="29">
        <f t="shared" si="26"/>
        <v>230</v>
      </c>
      <c r="B1690" s="2">
        <v>659</v>
      </c>
      <c r="C1690" s="2">
        <v>9</v>
      </c>
      <c r="D1690" s="2">
        <v>1817</v>
      </c>
      <c r="E1690">
        <v>6851</v>
      </c>
      <c r="G1690" s="1"/>
      <c r="H1690" s="1" t="s">
        <v>850</v>
      </c>
      <c r="I1690" s="2">
        <v>230</v>
      </c>
      <c r="J1690" s="2">
        <v>0</v>
      </c>
      <c r="K1690" s="2" t="s">
        <v>866</v>
      </c>
      <c r="L1690" s="43" t="s">
        <v>3355</v>
      </c>
      <c r="P1690" s="41">
        <v>15</v>
      </c>
      <c r="Q1690" s="41">
        <v>11</v>
      </c>
      <c r="R1690" s="41">
        <v>27</v>
      </c>
      <c r="S1690" t="s">
        <v>3343</v>
      </c>
      <c r="AH1690" t="s">
        <v>359</v>
      </c>
    </row>
    <row r="1691" spans="1:34" ht="15.75">
      <c r="A1691" s="29">
        <f t="shared" si="26"/>
        <v>18</v>
      </c>
      <c r="B1691" s="2">
        <v>659</v>
      </c>
      <c r="C1691" s="2">
        <v>9</v>
      </c>
      <c r="D1691" s="2">
        <v>1817</v>
      </c>
      <c r="E1691">
        <v>6852</v>
      </c>
      <c r="G1691" s="1"/>
      <c r="H1691" s="1" t="s">
        <v>850</v>
      </c>
      <c r="I1691" s="2">
        <v>18</v>
      </c>
      <c r="J1691" s="2">
        <v>0</v>
      </c>
      <c r="K1691" s="2" t="s">
        <v>866</v>
      </c>
      <c r="L1691" s="43" t="s">
        <v>3696</v>
      </c>
      <c r="P1691" s="41">
        <v>19</v>
      </c>
      <c r="Q1691" s="41">
        <v>1</v>
      </c>
      <c r="R1691" s="41">
        <v>65</v>
      </c>
      <c r="S1691" t="s">
        <v>3329</v>
      </c>
      <c r="AH1691" t="s">
        <v>359</v>
      </c>
    </row>
    <row r="1692" spans="1:34" ht="15.75">
      <c r="A1692" s="29">
        <f t="shared" si="26"/>
        <v>3724</v>
      </c>
      <c r="B1692" s="8">
        <v>659</v>
      </c>
      <c r="C1692" s="2">
        <v>9</v>
      </c>
      <c r="D1692" s="2">
        <v>1817</v>
      </c>
      <c r="E1692">
        <v>6854</v>
      </c>
      <c r="F1692" s="9"/>
      <c r="G1692" s="7"/>
      <c r="H1692" s="7" t="s">
        <v>1549</v>
      </c>
      <c r="I1692" s="8">
        <v>224</v>
      </c>
      <c r="J1692" s="8">
        <v>175</v>
      </c>
      <c r="K1692" s="2" t="s">
        <v>866</v>
      </c>
      <c r="L1692" s="43" t="s">
        <v>3696</v>
      </c>
      <c r="P1692" s="41">
        <v>27</v>
      </c>
      <c r="Q1692" s="41">
        <v>3</v>
      </c>
      <c r="R1692" s="41">
        <v>48</v>
      </c>
      <c r="S1692" t="s">
        <v>3321</v>
      </c>
      <c r="X1692">
        <v>1</v>
      </c>
      <c r="Y1692" t="s">
        <v>735</v>
      </c>
      <c r="AH1692" t="s">
        <v>359</v>
      </c>
    </row>
    <row r="1693" spans="1:34" ht="15.75">
      <c r="A1693" s="29">
        <f t="shared" si="26"/>
        <v>33</v>
      </c>
      <c r="B1693" s="8">
        <v>659</v>
      </c>
      <c r="C1693" s="2">
        <v>9</v>
      </c>
      <c r="D1693" s="2">
        <v>1817</v>
      </c>
      <c r="E1693">
        <v>6855</v>
      </c>
      <c r="F1693" s="9"/>
      <c r="G1693" s="7"/>
      <c r="H1693" s="7" t="s">
        <v>1549</v>
      </c>
      <c r="I1693" s="8">
        <v>33</v>
      </c>
      <c r="J1693" s="2">
        <v>0</v>
      </c>
      <c r="K1693" s="2" t="s">
        <v>866</v>
      </c>
      <c r="L1693" s="43" t="s">
        <v>3696</v>
      </c>
      <c r="P1693" s="41">
        <v>1</v>
      </c>
      <c r="Q1693" s="41">
        <v>10</v>
      </c>
      <c r="R1693" s="41">
        <v>23</v>
      </c>
      <c r="S1693" t="s">
        <v>3343</v>
      </c>
      <c r="AH1693" t="s">
        <v>359</v>
      </c>
    </row>
    <row r="1694" spans="1:34" ht="15.75">
      <c r="A1694" s="29">
        <f t="shared" si="26"/>
        <v>396</v>
      </c>
      <c r="B1694" s="2">
        <v>659</v>
      </c>
      <c r="C1694" s="2">
        <v>9</v>
      </c>
      <c r="D1694" s="2">
        <v>1817</v>
      </c>
      <c r="E1694">
        <v>6856</v>
      </c>
      <c r="G1694" s="1"/>
      <c r="H1694" s="1" t="s">
        <v>850</v>
      </c>
      <c r="I1694" s="2">
        <v>396</v>
      </c>
      <c r="J1694" s="2">
        <v>0</v>
      </c>
      <c r="K1694" s="2" t="s">
        <v>866</v>
      </c>
      <c r="L1694" s="43" t="s">
        <v>3696</v>
      </c>
      <c r="P1694" s="41">
        <v>14</v>
      </c>
      <c r="Q1694" s="41">
        <v>11</v>
      </c>
      <c r="R1694" s="41">
        <v>32</v>
      </c>
      <c r="S1694" t="s">
        <v>3343</v>
      </c>
      <c r="AH1694" t="s">
        <v>359</v>
      </c>
    </row>
    <row r="1695" spans="1:34" ht="15.75">
      <c r="A1695" s="29">
        <f t="shared" si="26"/>
        <v>0</v>
      </c>
      <c r="B1695" s="2">
        <v>659</v>
      </c>
      <c r="C1695" s="2">
        <v>9</v>
      </c>
      <c r="D1695" s="2">
        <v>1817</v>
      </c>
      <c r="E1695">
        <v>6857</v>
      </c>
      <c r="G1695" s="1"/>
      <c r="H1695" s="1" t="s">
        <v>850</v>
      </c>
      <c r="I1695" s="2">
        <v>0</v>
      </c>
      <c r="J1695" s="2">
        <v>0</v>
      </c>
      <c r="K1695" s="2" t="s">
        <v>866</v>
      </c>
      <c r="L1695" s="43" t="s">
        <v>3355</v>
      </c>
      <c r="P1695" s="41">
        <v>27</v>
      </c>
      <c r="Q1695" s="41">
        <v>1</v>
      </c>
      <c r="R1695" s="41">
        <v>77</v>
      </c>
      <c r="S1695" t="s">
        <v>3321</v>
      </c>
      <c r="V1695" t="s">
        <v>736</v>
      </c>
      <c r="AH1695" t="s">
        <v>359</v>
      </c>
    </row>
    <row r="1696" spans="1:34" ht="15.75">
      <c r="A1696" s="29">
        <f t="shared" si="26"/>
        <v>5000</v>
      </c>
      <c r="B1696" s="2">
        <v>659</v>
      </c>
      <c r="C1696" s="2">
        <v>9</v>
      </c>
      <c r="D1696" s="2">
        <v>1817</v>
      </c>
      <c r="E1696">
        <v>6858</v>
      </c>
      <c r="G1696" s="1"/>
      <c r="H1696" s="1" t="s">
        <v>850</v>
      </c>
      <c r="I1696" s="2">
        <v>5000</v>
      </c>
      <c r="J1696" s="2">
        <v>0</v>
      </c>
      <c r="K1696" s="2" t="s">
        <v>866</v>
      </c>
      <c r="L1696" s="43" t="s">
        <v>3356</v>
      </c>
      <c r="P1696" s="41">
        <v>20</v>
      </c>
      <c r="Q1696" s="41">
        <v>11</v>
      </c>
      <c r="R1696" s="41">
        <v>43</v>
      </c>
      <c r="S1696" t="s">
        <v>3321</v>
      </c>
      <c r="AH1696" t="s">
        <v>359</v>
      </c>
    </row>
    <row r="1697" spans="1:34" ht="15.75">
      <c r="A1697" s="29">
        <f t="shared" si="26"/>
        <v>444</v>
      </c>
      <c r="B1697" s="2">
        <v>660</v>
      </c>
      <c r="C1697" s="2">
        <v>9</v>
      </c>
      <c r="D1697" s="2">
        <v>1817</v>
      </c>
      <c r="E1697">
        <v>6888</v>
      </c>
      <c r="G1697" s="1"/>
      <c r="H1697" s="1" t="s">
        <v>1541</v>
      </c>
      <c r="I1697" s="2">
        <v>444</v>
      </c>
      <c r="J1697" s="2">
        <v>0</v>
      </c>
      <c r="K1697" s="2" t="s">
        <v>866</v>
      </c>
      <c r="L1697" s="43" t="s">
        <v>5262</v>
      </c>
      <c r="P1697" s="41">
        <v>15</v>
      </c>
      <c r="Q1697" s="41">
        <v>11</v>
      </c>
      <c r="R1697" s="41">
        <v>69</v>
      </c>
      <c r="S1697" t="s">
        <v>3329</v>
      </c>
      <c r="AH1697" t="s">
        <v>359</v>
      </c>
    </row>
    <row r="1698" spans="1:34" ht="15.75">
      <c r="A1698" s="39">
        <f t="shared" si="26"/>
        <v>4533</v>
      </c>
      <c r="B1698" s="2">
        <v>660</v>
      </c>
      <c r="C1698" s="2">
        <v>9</v>
      </c>
      <c r="D1698" s="2">
        <v>1817</v>
      </c>
      <c r="E1698">
        <v>6889</v>
      </c>
      <c r="G1698" s="1"/>
      <c r="H1698" s="1" t="s">
        <v>1541</v>
      </c>
      <c r="I1698" s="2">
        <v>4533</v>
      </c>
      <c r="J1698" s="2">
        <v>0</v>
      </c>
      <c r="K1698" s="2" t="s">
        <v>866</v>
      </c>
      <c r="L1698" s="43" t="s">
        <v>5263</v>
      </c>
      <c r="P1698" s="41">
        <v>3</v>
      </c>
      <c r="Q1698" s="41">
        <v>7</v>
      </c>
      <c r="R1698" s="41">
        <v>70</v>
      </c>
      <c r="S1698" t="s">
        <v>3343</v>
      </c>
      <c r="AH1698" t="s">
        <v>359</v>
      </c>
    </row>
    <row r="1699" spans="1:34" ht="15.75">
      <c r="A1699" s="29">
        <f t="shared" si="26"/>
        <v>203</v>
      </c>
      <c r="B1699" s="2">
        <v>660</v>
      </c>
      <c r="C1699" s="2">
        <v>9</v>
      </c>
      <c r="D1699" s="2">
        <v>1817</v>
      </c>
      <c r="E1699">
        <v>6890</v>
      </c>
      <c r="G1699" s="1"/>
      <c r="H1699" s="1" t="s">
        <v>1540</v>
      </c>
      <c r="I1699" s="2">
        <v>203</v>
      </c>
      <c r="J1699" s="2">
        <v>0</v>
      </c>
      <c r="K1699" s="2" t="s">
        <v>866</v>
      </c>
      <c r="L1699" s="43" t="s">
        <v>5264</v>
      </c>
      <c r="P1699" s="41">
        <v>15</v>
      </c>
      <c r="Q1699" s="41">
        <v>12</v>
      </c>
      <c r="R1699" s="41">
        <v>57</v>
      </c>
      <c r="S1699" t="s">
        <v>3321</v>
      </c>
      <c r="AH1699" t="s">
        <v>359</v>
      </c>
    </row>
    <row r="1700" spans="1:34" ht="15.75">
      <c r="A1700" s="29">
        <f t="shared" si="26"/>
        <v>31689</v>
      </c>
      <c r="B1700" s="8">
        <v>660</v>
      </c>
      <c r="C1700" s="2">
        <v>9</v>
      </c>
      <c r="D1700" s="2">
        <v>1817</v>
      </c>
      <c r="E1700">
        <v>6891</v>
      </c>
      <c r="F1700" s="9"/>
      <c r="G1700" s="7"/>
      <c r="H1700" s="7" t="s">
        <v>1541</v>
      </c>
      <c r="I1700" s="8">
        <v>31689</v>
      </c>
      <c r="J1700" s="8">
        <v>0</v>
      </c>
      <c r="K1700" s="2" t="s">
        <v>866</v>
      </c>
      <c r="L1700" s="43" t="s">
        <v>737</v>
      </c>
      <c r="M1700" s="41" t="s">
        <v>3246</v>
      </c>
      <c r="N1700" s="41" t="s">
        <v>739</v>
      </c>
      <c r="O1700" s="41" t="s">
        <v>740</v>
      </c>
      <c r="P1700" s="41">
        <v>22</v>
      </c>
      <c r="Q1700" s="41">
        <v>9</v>
      </c>
      <c r="R1700" s="41">
        <v>44</v>
      </c>
      <c r="S1700" t="s">
        <v>738</v>
      </c>
      <c r="T1700" t="s">
        <v>741</v>
      </c>
      <c r="V1700" t="s">
        <v>1671</v>
      </c>
      <c r="AH1700" t="s">
        <v>359</v>
      </c>
    </row>
    <row r="1701" spans="1:34" ht="15.75">
      <c r="A1701" s="29">
        <f t="shared" si="26"/>
        <v>666</v>
      </c>
      <c r="B1701" s="2">
        <v>660</v>
      </c>
      <c r="C1701" s="2">
        <v>9</v>
      </c>
      <c r="D1701" s="2">
        <v>1817</v>
      </c>
      <c r="E1701">
        <v>6892</v>
      </c>
      <c r="G1701" s="1"/>
      <c r="H1701" s="1" t="s">
        <v>1540</v>
      </c>
      <c r="I1701" s="2">
        <v>666</v>
      </c>
      <c r="J1701" s="2">
        <v>0</v>
      </c>
      <c r="K1701" s="2" t="s">
        <v>866</v>
      </c>
      <c r="L1701" s="43" t="s">
        <v>5268</v>
      </c>
      <c r="P1701" s="41">
        <v>8</v>
      </c>
      <c r="Q1701" s="41">
        <v>5</v>
      </c>
      <c r="R1701" s="41">
        <v>77</v>
      </c>
      <c r="S1701" t="s">
        <v>3324</v>
      </c>
      <c r="AH1701" t="s">
        <v>359</v>
      </c>
    </row>
    <row r="1702" spans="1:34" ht="15.75">
      <c r="A1702" s="29">
        <f t="shared" si="26"/>
        <v>5239</v>
      </c>
      <c r="B1702" s="2">
        <v>660</v>
      </c>
      <c r="C1702" s="2">
        <v>9</v>
      </c>
      <c r="D1702" s="2">
        <v>1817</v>
      </c>
      <c r="E1702">
        <v>6893</v>
      </c>
      <c r="G1702" s="1"/>
      <c r="H1702" s="1" t="s">
        <v>1541</v>
      </c>
      <c r="I1702" s="2">
        <v>5239</v>
      </c>
      <c r="J1702" s="2">
        <v>0</v>
      </c>
      <c r="K1702" s="2" t="s">
        <v>866</v>
      </c>
      <c r="L1702" s="43" t="s">
        <v>5268</v>
      </c>
      <c r="P1702" s="41">
        <v>19</v>
      </c>
      <c r="Q1702" s="41">
        <v>5</v>
      </c>
      <c r="R1702" s="41">
        <v>17</v>
      </c>
      <c r="S1702" t="s">
        <v>3343</v>
      </c>
      <c r="AH1702" t="s">
        <v>359</v>
      </c>
    </row>
    <row r="1703" spans="1:34" ht="15.75">
      <c r="A1703" s="29">
        <f t="shared" si="26"/>
        <v>546</v>
      </c>
      <c r="B1703" s="2">
        <v>660</v>
      </c>
      <c r="C1703" s="2">
        <v>9</v>
      </c>
      <c r="D1703" s="2">
        <v>1817</v>
      </c>
      <c r="E1703">
        <v>6894</v>
      </c>
      <c r="G1703" s="1"/>
      <c r="H1703" s="1" t="s">
        <v>1540</v>
      </c>
      <c r="I1703" s="2">
        <v>546</v>
      </c>
      <c r="J1703" s="2">
        <v>0</v>
      </c>
      <c r="K1703" s="2" t="s">
        <v>866</v>
      </c>
      <c r="L1703" s="43" t="s">
        <v>5270</v>
      </c>
      <c r="P1703" s="41">
        <v>30</v>
      </c>
      <c r="Q1703" s="41">
        <v>9</v>
      </c>
      <c r="R1703" s="41">
        <v>77</v>
      </c>
      <c r="S1703" t="s">
        <v>3324</v>
      </c>
      <c r="AH1703" t="s">
        <v>359</v>
      </c>
    </row>
    <row r="1704" spans="1:38" ht="15.75">
      <c r="A1704" s="29">
        <f t="shared" si="26"/>
        <v>0</v>
      </c>
      <c r="B1704" s="2">
        <v>660</v>
      </c>
      <c r="C1704" s="2">
        <v>9</v>
      </c>
      <c r="D1704" s="2">
        <v>1817</v>
      </c>
      <c r="E1704">
        <v>6895</v>
      </c>
      <c r="G1704" s="1"/>
      <c r="H1704" s="1" t="s">
        <v>1549</v>
      </c>
      <c r="I1704" s="2">
        <v>0</v>
      </c>
      <c r="J1704" s="2">
        <v>0</v>
      </c>
      <c r="K1704" s="2" t="s">
        <v>866</v>
      </c>
      <c r="L1704" s="43" t="s">
        <v>5265</v>
      </c>
      <c r="P1704" s="41">
        <v>26</v>
      </c>
      <c r="Q1704" s="41">
        <v>4</v>
      </c>
      <c r="R1704" s="41">
        <v>68</v>
      </c>
      <c r="S1704" t="s">
        <v>3343</v>
      </c>
      <c r="V1704" t="s">
        <v>742</v>
      </c>
      <c r="AH1704" t="s">
        <v>359</v>
      </c>
      <c r="AJ1704" s="40"/>
      <c r="AK1704" s="40"/>
      <c r="AL1704" s="40"/>
    </row>
    <row r="1705" spans="1:34" ht="15.75">
      <c r="A1705" s="29">
        <f t="shared" si="26"/>
        <v>715</v>
      </c>
      <c r="B1705" s="2">
        <v>661</v>
      </c>
      <c r="C1705" s="2">
        <v>9</v>
      </c>
      <c r="D1705" s="2">
        <v>1817</v>
      </c>
      <c r="E1705">
        <v>6919</v>
      </c>
      <c r="G1705" s="1"/>
      <c r="H1705" s="1" t="s">
        <v>850</v>
      </c>
      <c r="I1705" s="2">
        <v>715</v>
      </c>
      <c r="J1705" s="2">
        <v>0</v>
      </c>
      <c r="K1705" s="2" t="s">
        <v>866</v>
      </c>
      <c r="L1705" s="43" t="s">
        <v>5272</v>
      </c>
      <c r="O1705" s="41" t="s">
        <v>3672</v>
      </c>
      <c r="P1705" s="41">
        <v>3</v>
      </c>
      <c r="Q1705" s="41">
        <v>9</v>
      </c>
      <c r="R1705" s="41" t="s">
        <v>1547</v>
      </c>
      <c r="S1705" t="s">
        <v>1547</v>
      </c>
      <c r="AH1705" t="s">
        <v>359</v>
      </c>
    </row>
    <row r="1706" spans="1:34" ht="15.75">
      <c r="A1706" s="29">
        <f t="shared" si="26"/>
        <v>80</v>
      </c>
      <c r="B1706" s="2">
        <v>661</v>
      </c>
      <c r="C1706" s="2">
        <v>9</v>
      </c>
      <c r="D1706" s="2">
        <v>1817</v>
      </c>
      <c r="E1706">
        <v>6920</v>
      </c>
      <c r="G1706" s="1"/>
      <c r="H1706" s="1" t="s">
        <v>1540</v>
      </c>
      <c r="I1706" s="2">
        <v>80</v>
      </c>
      <c r="J1706" s="2">
        <v>0</v>
      </c>
      <c r="K1706" s="2" t="s">
        <v>866</v>
      </c>
      <c r="L1706" s="43" t="s">
        <v>4739</v>
      </c>
      <c r="P1706" s="41">
        <v>5</v>
      </c>
      <c r="Q1706" s="41">
        <v>6</v>
      </c>
      <c r="R1706" s="41">
        <v>58</v>
      </c>
      <c r="S1706" t="s">
        <v>3321</v>
      </c>
      <c r="AH1706" t="s">
        <v>359</v>
      </c>
    </row>
    <row r="1707" spans="1:34" ht="15.75">
      <c r="A1707" s="29">
        <f t="shared" si="26"/>
        <v>2596</v>
      </c>
      <c r="B1707" s="2">
        <v>661</v>
      </c>
      <c r="C1707" s="2">
        <v>9</v>
      </c>
      <c r="D1707" s="2">
        <v>1817</v>
      </c>
      <c r="E1707">
        <v>6921</v>
      </c>
      <c r="G1707" s="1"/>
      <c r="H1707" s="1" t="s">
        <v>1540</v>
      </c>
      <c r="I1707" s="2">
        <v>2596</v>
      </c>
      <c r="J1707" s="2">
        <v>0</v>
      </c>
      <c r="K1707" s="2" t="s">
        <v>866</v>
      </c>
      <c r="L1707" s="43" t="s">
        <v>4739</v>
      </c>
      <c r="P1707" s="41">
        <v>27</v>
      </c>
      <c r="Q1707" s="41">
        <v>5</v>
      </c>
      <c r="R1707" s="41">
        <v>21</v>
      </c>
      <c r="S1707" t="s">
        <v>3343</v>
      </c>
      <c r="AH1707" t="s">
        <v>359</v>
      </c>
    </row>
    <row r="1708" spans="1:34" ht="15.75">
      <c r="A1708" s="29">
        <f t="shared" si="26"/>
        <v>41</v>
      </c>
      <c r="B1708" s="2">
        <v>661</v>
      </c>
      <c r="C1708" s="2">
        <v>9</v>
      </c>
      <c r="D1708" s="2">
        <v>1817</v>
      </c>
      <c r="E1708">
        <v>6922</v>
      </c>
      <c r="G1708" s="1"/>
      <c r="H1708" s="1" t="s">
        <v>1540</v>
      </c>
      <c r="I1708" s="2">
        <v>41</v>
      </c>
      <c r="J1708" s="2">
        <v>0</v>
      </c>
      <c r="K1708" s="2" t="s">
        <v>866</v>
      </c>
      <c r="L1708" s="43" t="s">
        <v>4739</v>
      </c>
      <c r="P1708" s="41">
        <v>31</v>
      </c>
      <c r="Q1708" s="41">
        <v>7</v>
      </c>
      <c r="R1708" s="41">
        <v>62</v>
      </c>
      <c r="S1708" t="s">
        <v>3343</v>
      </c>
      <c r="AH1708" t="s">
        <v>359</v>
      </c>
    </row>
    <row r="1709" spans="1:34" ht="15.75">
      <c r="A1709" s="29">
        <f t="shared" si="26"/>
        <v>347</v>
      </c>
      <c r="B1709" s="2">
        <v>661</v>
      </c>
      <c r="C1709" s="2">
        <v>9</v>
      </c>
      <c r="D1709" s="2">
        <v>1817</v>
      </c>
      <c r="E1709">
        <v>6923</v>
      </c>
      <c r="G1709" s="1"/>
      <c r="H1709" s="1" t="s">
        <v>1541</v>
      </c>
      <c r="I1709" s="2">
        <v>347</v>
      </c>
      <c r="J1709" s="2">
        <v>0</v>
      </c>
      <c r="K1709" s="2" t="s">
        <v>866</v>
      </c>
      <c r="L1709" s="43" t="s">
        <v>4739</v>
      </c>
      <c r="P1709" s="41">
        <v>22</v>
      </c>
      <c r="Q1709" s="41">
        <v>7</v>
      </c>
      <c r="R1709" s="41">
        <v>47</v>
      </c>
      <c r="S1709" t="s">
        <v>3321</v>
      </c>
      <c r="AH1709" t="s">
        <v>359</v>
      </c>
    </row>
    <row r="1710" spans="1:34" ht="15.75">
      <c r="A1710" s="29">
        <f t="shared" si="26"/>
        <v>144000</v>
      </c>
      <c r="B1710" s="8">
        <v>661</v>
      </c>
      <c r="C1710" s="2">
        <v>9</v>
      </c>
      <c r="D1710" s="2">
        <v>1817</v>
      </c>
      <c r="E1710">
        <v>6924</v>
      </c>
      <c r="F1710" s="9"/>
      <c r="G1710" s="7"/>
      <c r="H1710" s="7" t="s">
        <v>1541</v>
      </c>
      <c r="I1710" s="8">
        <v>0</v>
      </c>
      <c r="J1710" s="8">
        <v>7200</v>
      </c>
      <c r="K1710" s="2" t="s">
        <v>866</v>
      </c>
      <c r="L1710" s="43" t="s">
        <v>1504</v>
      </c>
      <c r="M1710" s="41" t="s">
        <v>743</v>
      </c>
      <c r="O1710" s="41" t="s">
        <v>744</v>
      </c>
      <c r="P1710" s="41">
        <v>16</v>
      </c>
      <c r="Q1710" s="41">
        <v>12</v>
      </c>
      <c r="R1710" s="41" t="s">
        <v>1547</v>
      </c>
      <c r="S1710" t="s">
        <v>3343</v>
      </c>
      <c r="T1710" t="s">
        <v>745</v>
      </c>
      <c r="V1710" t="s">
        <v>1244</v>
      </c>
      <c r="X1710">
        <v>1</v>
      </c>
      <c r="Y1710" t="s">
        <v>746</v>
      </c>
      <c r="AH1710" t="s">
        <v>359</v>
      </c>
    </row>
    <row r="1711" spans="1:34" ht="15.75">
      <c r="A1711" s="29">
        <f t="shared" si="26"/>
        <v>600</v>
      </c>
      <c r="B1711" s="8">
        <v>661</v>
      </c>
      <c r="C1711" s="2">
        <v>9</v>
      </c>
      <c r="D1711" s="2">
        <v>1817</v>
      </c>
      <c r="E1711">
        <v>6925</v>
      </c>
      <c r="F1711" s="9"/>
      <c r="G1711" s="7"/>
      <c r="H1711" s="7" t="s">
        <v>1540</v>
      </c>
      <c r="I1711" s="8">
        <f>472+128</f>
        <v>600</v>
      </c>
      <c r="J1711" s="8">
        <v>0</v>
      </c>
      <c r="K1711" s="2" t="s">
        <v>866</v>
      </c>
      <c r="L1711" s="43" t="s">
        <v>4739</v>
      </c>
      <c r="P1711" s="41">
        <v>14</v>
      </c>
      <c r="Q1711" s="41">
        <v>12</v>
      </c>
      <c r="R1711" s="41">
        <v>62</v>
      </c>
      <c r="S1711" t="s">
        <v>1547</v>
      </c>
      <c r="T1711" t="s">
        <v>5990</v>
      </c>
      <c r="AH1711" t="s">
        <v>359</v>
      </c>
    </row>
    <row r="1712" spans="1:34" ht="15.75">
      <c r="A1712" s="39">
        <f t="shared" si="26"/>
        <v>953</v>
      </c>
      <c r="B1712" s="8">
        <v>661</v>
      </c>
      <c r="C1712" s="2">
        <v>9</v>
      </c>
      <c r="D1712" s="2">
        <v>1817</v>
      </c>
      <c r="E1712">
        <v>6927</v>
      </c>
      <c r="F1712" s="9"/>
      <c r="G1712" s="7"/>
      <c r="H1712" s="7" t="s">
        <v>1540</v>
      </c>
      <c r="I1712" s="8">
        <v>953</v>
      </c>
      <c r="J1712" s="8">
        <v>0</v>
      </c>
      <c r="K1712" s="2" t="s">
        <v>866</v>
      </c>
      <c r="L1712" s="43" t="s">
        <v>5277</v>
      </c>
      <c r="P1712" s="41">
        <v>26</v>
      </c>
      <c r="Q1712" s="41">
        <v>4</v>
      </c>
      <c r="R1712" s="41">
        <v>46</v>
      </c>
      <c r="S1712" t="s">
        <v>3321</v>
      </c>
      <c r="AH1712" t="s">
        <v>359</v>
      </c>
    </row>
    <row r="1713" spans="1:34" ht="15.75">
      <c r="A1713" s="29">
        <f t="shared" si="26"/>
        <v>450</v>
      </c>
      <c r="B1713" s="8">
        <v>661</v>
      </c>
      <c r="C1713" s="2">
        <v>9</v>
      </c>
      <c r="D1713" s="2">
        <v>1817</v>
      </c>
      <c r="E1713">
        <v>6928</v>
      </c>
      <c r="F1713" s="9"/>
      <c r="G1713" s="7"/>
      <c r="H1713" s="7" t="s">
        <v>1541</v>
      </c>
      <c r="I1713" s="8">
        <v>450</v>
      </c>
      <c r="J1713" s="8">
        <v>0</v>
      </c>
      <c r="K1713" s="2" t="s">
        <v>866</v>
      </c>
      <c r="L1713" s="43" t="s">
        <v>5277</v>
      </c>
      <c r="P1713" s="41">
        <v>28</v>
      </c>
      <c r="Q1713" s="41">
        <v>12</v>
      </c>
      <c r="R1713" s="41">
        <v>57</v>
      </c>
      <c r="S1713" t="s">
        <v>3321</v>
      </c>
      <c r="AH1713" t="s">
        <v>359</v>
      </c>
    </row>
    <row r="1714" spans="1:34" ht="15.75">
      <c r="A1714" s="29">
        <f t="shared" si="26"/>
        <v>2240</v>
      </c>
      <c r="B1714" s="8">
        <v>661</v>
      </c>
      <c r="C1714" s="2">
        <v>9</v>
      </c>
      <c r="D1714" s="2">
        <v>1817</v>
      </c>
      <c r="E1714">
        <v>6929</v>
      </c>
      <c r="F1714" s="9"/>
      <c r="G1714" s="7"/>
      <c r="H1714" s="7" t="s">
        <v>1541</v>
      </c>
      <c r="I1714" s="8">
        <f>1040+1200</f>
        <v>2240</v>
      </c>
      <c r="J1714" s="8">
        <v>0</v>
      </c>
      <c r="K1714" s="2" t="s">
        <v>866</v>
      </c>
      <c r="L1714" s="43" t="s">
        <v>5281</v>
      </c>
      <c r="P1714" s="41">
        <v>16</v>
      </c>
      <c r="Q1714" s="41">
        <v>5</v>
      </c>
      <c r="R1714" s="41">
        <v>40</v>
      </c>
      <c r="S1714" t="s">
        <v>3321</v>
      </c>
      <c r="AH1714" t="s">
        <v>359</v>
      </c>
    </row>
    <row r="1715" spans="1:34" ht="15.75">
      <c r="A1715" s="29">
        <f t="shared" si="26"/>
        <v>32</v>
      </c>
      <c r="B1715" s="8">
        <v>661</v>
      </c>
      <c r="C1715" s="2">
        <v>9</v>
      </c>
      <c r="D1715" s="2">
        <v>1817</v>
      </c>
      <c r="E1715">
        <v>6930</v>
      </c>
      <c r="F1715" s="9"/>
      <c r="G1715" s="7"/>
      <c r="H1715" s="7" t="s">
        <v>1541</v>
      </c>
      <c r="I1715" s="8">
        <v>32</v>
      </c>
      <c r="J1715" s="8">
        <v>0</v>
      </c>
      <c r="K1715" s="2" t="s">
        <v>866</v>
      </c>
      <c r="L1715" s="43" t="s">
        <v>5281</v>
      </c>
      <c r="P1715" s="41">
        <v>25</v>
      </c>
      <c r="Q1715" s="41">
        <v>9</v>
      </c>
      <c r="R1715" s="41">
        <v>72</v>
      </c>
      <c r="S1715" t="s">
        <v>3329</v>
      </c>
      <c r="AH1715" t="s">
        <v>359</v>
      </c>
    </row>
    <row r="1716" spans="1:34" ht="15.75">
      <c r="A1716" s="29">
        <f t="shared" si="26"/>
        <v>1402</v>
      </c>
      <c r="B1716" s="8">
        <v>661</v>
      </c>
      <c r="C1716" s="2">
        <v>9</v>
      </c>
      <c r="D1716" s="2">
        <v>1817</v>
      </c>
      <c r="E1716">
        <v>6932</v>
      </c>
      <c r="F1716" s="9"/>
      <c r="G1716" s="7"/>
      <c r="H1716" s="7" t="s">
        <v>1540</v>
      </c>
      <c r="I1716" s="8">
        <v>1402</v>
      </c>
      <c r="J1716" s="8">
        <v>0</v>
      </c>
      <c r="K1716" s="2" t="s">
        <v>866</v>
      </c>
      <c r="L1716" s="43" t="s">
        <v>2780</v>
      </c>
      <c r="P1716" s="41">
        <v>6</v>
      </c>
      <c r="Q1716" s="41">
        <v>9</v>
      </c>
      <c r="R1716" s="41" t="s">
        <v>1547</v>
      </c>
      <c r="S1716" t="s">
        <v>3343</v>
      </c>
      <c r="AH1716" t="s">
        <v>359</v>
      </c>
    </row>
    <row r="1717" spans="1:34" ht="15.75">
      <c r="A1717" s="29">
        <f t="shared" si="26"/>
        <v>10434</v>
      </c>
      <c r="B1717" s="8">
        <v>661</v>
      </c>
      <c r="C1717" s="2">
        <v>9</v>
      </c>
      <c r="D1717" s="2">
        <v>1817</v>
      </c>
      <c r="E1717">
        <v>6933</v>
      </c>
      <c r="F1717" s="9"/>
      <c r="G1717" s="7"/>
      <c r="H1717" s="7" t="s">
        <v>1540</v>
      </c>
      <c r="I1717" s="8">
        <f>515+1919</f>
        <v>2434</v>
      </c>
      <c r="J1717" s="8">
        <v>400</v>
      </c>
      <c r="K1717" s="2" t="s">
        <v>866</v>
      </c>
      <c r="L1717" s="43" t="s">
        <v>2780</v>
      </c>
      <c r="P1717" s="41">
        <v>13</v>
      </c>
      <c r="Q1717" s="41">
        <v>8</v>
      </c>
      <c r="R1717" s="41">
        <v>43</v>
      </c>
      <c r="S1717" t="s">
        <v>3321</v>
      </c>
      <c r="X1717">
        <v>1</v>
      </c>
      <c r="Y1717" t="s">
        <v>755</v>
      </c>
      <c r="AH1717" t="s">
        <v>359</v>
      </c>
    </row>
    <row r="1718" spans="1:34" ht="15.75">
      <c r="A1718" s="29">
        <f t="shared" si="26"/>
        <v>748</v>
      </c>
      <c r="B1718" s="2">
        <v>661</v>
      </c>
      <c r="C1718" s="2">
        <v>9</v>
      </c>
      <c r="D1718" s="2">
        <v>1817</v>
      </c>
      <c r="E1718">
        <v>6934</v>
      </c>
      <c r="G1718" s="1"/>
      <c r="H1718" s="1" t="s">
        <v>1541</v>
      </c>
      <c r="I1718" s="2">
        <v>748</v>
      </c>
      <c r="J1718" s="2">
        <v>0</v>
      </c>
      <c r="K1718" s="2" t="s">
        <v>866</v>
      </c>
      <c r="L1718" s="43" t="s">
        <v>756</v>
      </c>
      <c r="P1718" s="41">
        <v>25</v>
      </c>
      <c r="Q1718" s="41">
        <v>7</v>
      </c>
      <c r="R1718" s="41">
        <v>50</v>
      </c>
      <c r="S1718" t="s">
        <v>3321</v>
      </c>
      <c r="AH1718" t="s">
        <v>359</v>
      </c>
    </row>
    <row r="1719" spans="1:34" ht="15.75">
      <c r="A1719" s="29">
        <f t="shared" si="26"/>
        <v>10000</v>
      </c>
      <c r="B1719" s="2">
        <v>661</v>
      </c>
      <c r="C1719" s="2">
        <v>9</v>
      </c>
      <c r="D1719" s="2">
        <v>1817</v>
      </c>
      <c r="E1719">
        <v>6935</v>
      </c>
      <c r="G1719" s="1"/>
      <c r="H1719" s="1" t="s">
        <v>1549</v>
      </c>
      <c r="I1719" s="2">
        <v>0</v>
      </c>
      <c r="J1719" s="2">
        <v>1000</v>
      </c>
      <c r="K1719" s="2" t="s">
        <v>866</v>
      </c>
      <c r="L1719" s="43" t="s">
        <v>5272</v>
      </c>
      <c r="P1719" s="41">
        <v>5</v>
      </c>
      <c r="Q1719" s="41">
        <v>2</v>
      </c>
      <c r="R1719" s="41" t="s">
        <v>1547</v>
      </c>
      <c r="S1719" t="s">
        <v>3321</v>
      </c>
      <c r="X1719">
        <v>0.5</v>
      </c>
      <c r="Y1719" t="s">
        <v>757</v>
      </c>
      <c r="AH1719" t="s">
        <v>359</v>
      </c>
    </row>
    <row r="1720" spans="1:34" ht="15.75">
      <c r="A1720" s="29">
        <f t="shared" si="26"/>
        <v>0</v>
      </c>
      <c r="B1720" s="2">
        <v>661</v>
      </c>
      <c r="C1720" s="2">
        <v>9</v>
      </c>
      <c r="D1720" s="2">
        <v>1817</v>
      </c>
      <c r="E1720">
        <v>6936</v>
      </c>
      <c r="G1720" s="1"/>
      <c r="H1720" s="1" t="s">
        <v>850</v>
      </c>
      <c r="I1720" s="2">
        <v>0</v>
      </c>
      <c r="J1720" s="2">
        <v>0</v>
      </c>
      <c r="K1720" s="2" t="s">
        <v>866</v>
      </c>
      <c r="L1720" s="43" t="s">
        <v>5277</v>
      </c>
      <c r="P1720" s="41">
        <v>24</v>
      </c>
      <c r="Q1720" s="41">
        <v>1</v>
      </c>
      <c r="R1720" s="41">
        <v>81</v>
      </c>
      <c r="S1720" t="s">
        <v>3329</v>
      </c>
      <c r="V1720" t="s">
        <v>3370</v>
      </c>
      <c r="AH1720" t="s">
        <v>359</v>
      </c>
    </row>
    <row r="1721" spans="1:34" ht="15.75">
      <c r="A1721" s="29">
        <f t="shared" si="26"/>
        <v>650</v>
      </c>
      <c r="B1721" s="2">
        <v>662</v>
      </c>
      <c r="C1721" s="2">
        <v>9</v>
      </c>
      <c r="D1721" s="2">
        <v>1817</v>
      </c>
      <c r="E1721">
        <v>6962</v>
      </c>
      <c r="G1721" s="1"/>
      <c r="H1721" s="1" t="s">
        <v>1541</v>
      </c>
      <c r="I1721" s="2">
        <v>650</v>
      </c>
      <c r="J1721" s="2">
        <v>0</v>
      </c>
      <c r="K1721" s="2" t="s">
        <v>866</v>
      </c>
      <c r="L1721" s="43" t="s">
        <v>758</v>
      </c>
      <c r="O1721" s="41" t="s">
        <v>3688</v>
      </c>
      <c r="P1721" s="41">
        <v>16</v>
      </c>
      <c r="Q1721" s="41">
        <v>5</v>
      </c>
      <c r="R1721" s="41" t="s">
        <v>1547</v>
      </c>
      <c r="S1721" t="s">
        <v>1547</v>
      </c>
      <c r="U1721" t="s">
        <v>3688</v>
      </c>
      <c r="AH1721" t="s">
        <v>359</v>
      </c>
    </row>
    <row r="1722" spans="1:34" ht="15.75">
      <c r="A1722" s="29">
        <f t="shared" si="26"/>
        <v>41</v>
      </c>
      <c r="B1722" s="2">
        <v>662</v>
      </c>
      <c r="C1722" s="2">
        <v>9</v>
      </c>
      <c r="D1722" s="2">
        <v>1817</v>
      </c>
      <c r="E1722">
        <v>6963</v>
      </c>
      <c r="G1722" s="1"/>
      <c r="H1722" s="1" t="s">
        <v>850</v>
      </c>
      <c r="I1722" s="2">
        <v>41</v>
      </c>
      <c r="J1722" s="2">
        <v>0</v>
      </c>
      <c r="K1722" s="2" t="s">
        <v>866</v>
      </c>
      <c r="L1722" s="43" t="s">
        <v>5290</v>
      </c>
      <c r="P1722" s="41">
        <v>20</v>
      </c>
      <c r="Q1722" s="41">
        <v>10</v>
      </c>
      <c r="R1722" s="41">
        <v>47</v>
      </c>
      <c r="S1722" t="s">
        <v>3321</v>
      </c>
      <c r="AH1722" t="s">
        <v>359</v>
      </c>
    </row>
    <row r="1723" spans="1:34" ht="15.75">
      <c r="A1723" s="29">
        <f t="shared" si="26"/>
        <v>2198</v>
      </c>
      <c r="B1723" s="8">
        <v>662</v>
      </c>
      <c r="C1723" s="2">
        <v>9</v>
      </c>
      <c r="D1723" s="2">
        <v>1817</v>
      </c>
      <c r="E1723">
        <v>6964</v>
      </c>
      <c r="F1723" s="9"/>
      <c r="G1723" s="7"/>
      <c r="H1723" s="7" t="s">
        <v>1541</v>
      </c>
      <c r="I1723" s="8">
        <f>450+1298+450</f>
        <v>2198</v>
      </c>
      <c r="J1723" s="8">
        <v>0</v>
      </c>
      <c r="K1723" s="2" t="s">
        <v>866</v>
      </c>
      <c r="L1723" s="43" t="s">
        <v>5291</v>
      </c>
      <c r="P1723" s="41">
        <v>10</v>
      </c>
      <c r="Q1723" s="41">
        <v>9</v>
      </c>
      <c r="R1723" s="41" t="s">
        <v>1547</v>
      </c>
      <c r="S1723" t="s">
        <v>3329</v>
      </c>
      <c r="AH1723" t="s">
        <v>359</v>
      </c>
    </row>
    <row r="1724" spans="1:34" ht="15.75">
      <c r="A1724" s="29">
        <f t="shared" si="26"/>
        <v>41467</v>
      </c>
      <c r="B1724" s="8">
        <v>662</v>
      </c>
      <c r="C1724" s="2">
        <v>9</v>
      </c>
      <c r="D1724" s="2">
        <v>1817</v>
      </c>
      <c r="E1724">
        <v>6965</v>
      </c>
      <c r="F1724" s="9"/>
      <c r="G1724" s="7"/>
      <c r="H1724" s="7" t="s">
        <v>1540</v>
      </c>
      <c r="I1724" s="8">
        <f>24859+4608</f>
        <v>29467</v>
      </c>
      <c r="J1724" s="8">
        <v>600</v>
      </c>
      <c r="K1724" s="2" t="s">
        <v>866</v>
      </c>
      <c r="L1724" s="43" t="s">
        <v>759</v>
      </c>
      <c r="M1724" s="41" t="s">
        <v>761</v>
      </c>
      <c r="N1724" s="41" t="s">
        <v>5938</v>
      </c>
      <c r="O1724" s="41" t="s">
        <v>762</v>
      </c>
      <c r="P1724" s="41">
        <v>8</v>
      </c>
      <c r="Q1724" s="41">
        <v>6</v>
      </c>
      <c r="R1724" s="41" t="s">
        <v>1547</v>
      </c>
      <c r="S1724" t="s">
        <v>760</v>
      </c>
      <c r="T1724" t="s">
        <v>763</v>
      </c>
      <c r="V1724" t="s">
        <v>550</v>
      </c>
      <c r="X1724">
        <v>1</v>
      </c>
      <c r="Y1724" t="s">
        <v>762</v>
      </c>
      <c r="AH1724" t="s">
        <v>359</v>
      </c>
    </row>
    <row r="1725" spans="1:34" ht="15.75">
      <c r="A1725" s="29">
        <f t="shared" si="26"/>
        <v>305</v>
      </c>
      <c r="B1725" s="2">
        <v>662</v>
      </c>
      <c r="C1725" s="2">
        <v>9</v>
      </c>
      <c r="D1725" s="2">
        <v>1817</v>
      </c>
      <c r="E1725">
        <v>6966</v>
      </c>
      <c r="G1725" s="1"/>
      <c r="H1725" s="1" t="s">
        <v>1541</v>
      </c>
      <c r="I1725" s="2">
        <v>305</v>
      </c>
      <c r="J1725" s="2">
        <v>0</v>
      </c>
      <c r="K1725" s="2" t="s">
        <v>866</v>
      </c>
      <c r="L1725" s="43" t="s">
        <v>5294</v>
      </c>
      <c r="P1725" s="41">
        <v>23</v>
      </c>
      <c r="Q1725" s="41">
        <v>8</v>
      </c>
      <c r="R1725" s="41">
        <v>77</v>
      </c>
      <c r="S1725" t="s">
        <v>3352</v>
      </c>
      <c r="AH1725" t="s">
        <v>359</v>
      </c>
    </row>
    <row r="1726" spans="1:34" ht="15.75">
      <c r="A1726" s="29">
        <f t="shared" si="26"/>
        <v>212</v>
      </c>
      <c r="B1726" s="2">
        <v>662</v>
      </c>
      <c r="C1726" s="2">
        <v>9</v>
      </c>
      <c r="D1726" s="2">
        <v>1817</v>
      </c>
      <c r="E1726">
        <v>6967</v>
      </c>
      <c r="G1726" s="1"/>
      <c r="H1726" s="1" t="s">
        <v>1541</v>
      </c>
      <c r="I1726" s="2">
        <v>212</v>
      </c>
      <c r="J1726" s="2">
        <v>0</v>
      </c>
      <c r="K1726" s="2" t="s">
        <v>866</v>
      </c>
      <c r="L1726" s="43" t="s">
        <v>5295</v>
      </c>
      <c r="P1726" s="41">
        <v>3</v>
      </c>
      <c r="Q1726" s="41">
        <v>12</v>
      </c>
      <c r="R1726" s="41">
        <v>52</v>
      </c>
      <c r="S1726" t="s">
        <v>3321</v>
      </c>
      <c r="AH1726" t="s">
        <v>359</v>
      </c>
    </row>
    <row r="1727" spans="1:34" ht="15.75">
      <c r="A1727" s="29">
        <f t="shared" si="26"/>
        <v>1679</v>
      </c>
      <c r="B1727" s="2">
        <v>662</v>
      </c>
      <c r="C1727" s="2">
        <v>9</v>
      </c>
      <c r="D1727" s="2">
        <v>1817</v>
      </c>
      <c r="E1727">
        <v>6968</v>
      </c>
      <c r="G1727" s="1"/>
      <c r="H1727" s="1" t="s">
        <v>1541</v>
      </c>
      <c r="I1727" s="2">
        <v>1679</v>
      </c>
      <c r="J1727" s="2">
        <v>0</v>
      </c>
      <c r="K1727" s="2" t="s">
        <v>866</v>
      </c>
      <c r="L1727" s="43" t="s">
        <v>764</v>
      </c>
      <c r="P1727" s="41">
        <v>2</v>
      </c>
      <c r="Q1727" s="41">
        <v>10</v>
      </c>
      <c r="R1727" s="41">
        <v>57</v>
      </c>
      <c r="S1727" t="s">
        <v>1547</v>
      </c>
      <c r="T1727" t="s">
        <v>765</v>
      </c>
      <c r="AH1727" t="s">
        <v>359</v>
      </c>
    </row>
    <row r="1728" spans="1:34" ht="15.75">
      <c r="A1728" s="29">
        <f t="shared" si="26"/>
        <v>0</v>
      </c>
      <c r="B1728" s="2">
        <v>662</v>
      </c>
      <c r="C1728" s="2">
        <v>9</v>
      </c>
      <c r="D1728" s="2">
        <v>1817</v>
      </c>
      <c r="E1728">
        <v>6969</v>
      </c>
      <c r="G1728" s="1"/>
      <c r="H1728" s="1" t="s">
        <v>1549</v>
      </c>
      <c r="I1728" s="2">
        <v>0</v>
      </c>
      <c r="J1728" s="2">
        <v>0</v>
      </c>
      <c r="K1728" s="2" t="s">
        <v>866</v>
      </c>
      <c r="L1728" s="43" t="s">
        <v>5290</v>
      </c>
      <c r="P1728" s="41">
        <v>4</v>
      </c>
      <c r="Q1728" s="41">
        <v>2</v>
      </c>
      <c r="R1728" s="41">
        <v>52</v>
      </c>
      <c r="S1728" t="s">
        <v>3321</v>
      </c>
      <c r="V1728" t="s">
        <v>766</v>
      </c>
      <c r="AH1728" t="s">
        <v>359</v>
      </c>
    </row>
    <row r="1729" spans="1:34" ht="15.75">
      <c r="A1729" s="29">
        <f t="shared" si="26"/>
        <v>2783</v>
      </c>
      <c r="B1729" s="2">
        <v>407</v>
      </c>
      <c r="C1729" s="2">
        <v>9</v>
      </c>
      <c r="D1729" s="2">
        <v>1817</v>
      </c>
      <c r="E1729">
        <v>6988</v>
      </c>
      <c r="G1729" s="1"/>
      <c r="H1729" s="1" t="s">
        <v>850</v>
      </c>
      <c r="I1729" s="2">
        <v>2783</v>
      </c>
      <c r="J1729" s="2"/>
      <c r="K1729" s="2" t="s">
        <v>867</v>
      </c>
      <c r="L1729" s="43" t="s">
        <v>767</v>
      </c>
      <c r="P1729" s="41">
        <v>9</v>
      </c>
      <c r="Q1729" s="41">
        <v>1</v>
      </c>
      <c r="R1729" s="41" t="s">
        <v>1547</v>
      </c>
      <c r="S1729" t="s">
        <v>1547</v>
      </c>
      <c r="AH1729" t="s">
        <v>359</v>
      </c>
    </row>
    <row r="1730" spans="1:34" ht="15.75">
      <c r="A1730" s="29">
        <f aca="true" t="shared" si="27" ref="A1730:A1793">I1730+J1730*20*X1730</f>
        <v>2814</v>
      </c>
      <c r="B1730" s="2">
        <v>407</v>
      </c>
      <c r="C1730" s="2">
        <v>9</v>
      </c>
      <c r="D1730" s="2">
        <v>1817</v>
      </c>
      <c r="E1730">
        <v>6989</v>
      </c>
      <c r="G1730" s="1"/>
      <c r="H1730" s="1" t="s">
        <v>850</v>
      </c>
      <c r="I1730" s="2">
        <v>2814</v>
      </c>
      <c r="J1730" s="2"/>
      <c r="K1730" s="2" t="s">
        <v>867</v>
      </c>
      <c r="L1730" s="43" t="s">
        <v>768</v>
      </c>
      <c r="P1730" s="41">
        <v>3</v>
      </c>
      <c r="Q1730" s="41">
        <v>3</v>
      </c>
      <c r="R1730" s="41" t="s">
        <v>1547</v>
      </c>
      <c r="S1730" t="s">
        <v>3321</v>
      </c>
      <c r="AH1730" t="s">
        <v>359</v>
      </c>
    </row>
    <row r="1731" spans="1:34" ht="15.75">
      <c r="A1731" s="29">
        <f t="shared" si="27"/>
        <v>543</v>
      </c>
      <c r="B1731" s="2">
        <v>663</v>
      </c>
      <c r="C1731" s="2">
        <v>9</v>
      </c>
      <c r="D1731" s="2">
        <v>1817</v>
      </c>
      <c r="E1731">
        <v>6990</v>
      </c>
      <c r="G1731" s="1"/>
      <c r="H1731" s="1" t="s">
        <v>1540</v>
      </c>
      <c r="I1731" s="2">
        <v>543</v>
      </c>
      <c r="J1731" s="2">
        <v>0</v>
      </c>
      <c r="K1731" s="2" t="s">
        <v>867</v>
      </c>
      <c r="L1731" s="43" t="s">
        <v>2895</v>
      </c>
      <c r="P1731" s="41">
        <v>26</v>
      </c>
      <c r="Q1731" s="41">
        <v>12</v>
      </c>
      <c r="R1731" s="41">
        <v>64</v>
      </c>
      <c r="S1731" t="s">
        <v>3321</v>
      </c>
      <c r="AH1731" t="s">
        <v>359</v>
      </c>
    </row>
    <row r="1732" spans="1:34" ht="15.75">
      <c r="A1732" s="29">
        <f t="shared" si="27"/>
        <v>271</v>
      </c>
      <c r="B1732" s="2">
        <v>663</v>
      </c>
      <c r="C1732" s="2">
        <v>9</v>
      </c>
      <c r="D1732" s="2">
        <v>1817</v>
      </c>
      <c r="E1732">
        <v>6991</v>
      </c>
      <c r="G1732" s="1"/>
      <c r="H1732" s="1" t="s">
        <v>1540</v>
      </c>
      <c r="I1732" s="2">
        <v>271</v>
      </c>
      <c r="J1732" s="2">
        <v>0</v>
      </c>
      <c r="K1732" s="2" t="s">
        <v>867</v>
      </c>
      <c r="L1732" s="43" t="s">
        <v>2898</v>
      </c>
      <c r="P1732" s="41">
        <v>19</v>
      </c>
      <c r="Q1732" s="41">
        <v>9</v>
      </c>
      <c r="R1732" s="41">
        <v>64</v>
      </c>
      <c r="S1732" t="s">
        <v>3321</v>
      </c>
      <c r="AH1732" t="s">
        <v>359</v>
      </c>
    </row>
    <row r="1733" spans="1:34" ht="15.75">
      <c r="A1733" s="29">
        <f t="shared" si="27"/>
        <v>6</v>
      </c>
      <c r="B1733" s="2">
        <v>663</v>
      </c>
      <c r="C1733" s="2">
        <v>9</v>
      </c>
      <c r="D1733" s="2">
        <v>1817</v>
      </c>
      <c r="E1733">
        <v>6992</v>
      </c>
      <c r="G1733" s="1"/>
      <c r="H1733" s="1" t="s">
        <v>1541</v>
      </c>
      <c r="I1733" s="2">
        <v>6</v>
      </c>
      <c r="J1733" s="2">
        <v>0</v>
      </c>
      <c r="K1733" s="2" t="s">
        <v>867</v>
      </c>
      <c r="L1733" s="43" t="s">
        <v>2899</v>
      </c>
      <c r="P1733" s="41">
        <v>10</v>
      </c>
      <c r="Q1733" s="41">
        <v>6</v>
      </c>
      <c r="R1733" s="41">
        <v>70</v>
      </c>
      <c r="S1733" t="s">
        <v>3329</v>
      </c>
      <c r="AH1733" t="s">
        <v>359</v>
      </c>
    </row>
    <row r="1734" spans="1:34" ht="15.75">
      <c r="A1734" s="39">
        <f t="shared" si="27"/>
        <v>7000</v>
      </c>
      <c r="B1734" s="8">
        <v>663</v>
      </c>
      <c r="C1734" s="2">
        <v>9</v>
      </c>
      <c r="D1734" s="2">
        <v>1817</v>
      </c>
      <c r="E1734">
        <v>6993</v>
      </c>
      <c r="F1734" s="9"/>
      <c r="G1734" s="7"/>
      <c r="H1734" s="7" t="s">
        <v>1540</v>
      </c>
      <c r="I1734" s="8">
        <v>0</v>
      </c>
      <c r="J1734" s="8">
        <v>350</v>
      </c>
      <c r="K1734" s="2" t="s">
        <v>867</v>
      </c>
      <c r="L1734" s="43" t="s">
        <v>2899</v>
      </c>
      <c r="O1734" s="41" t="s">
        <v>769</v>
      </c>
      <c r="P1734" s="41">
        <v>24</v>
      </c>
      <c r="Q1734" s="41">
        <v>7</v>
      </c>
      <c r="R1734" s="41" t="s">
        <v>1547</v>
      </c>
      <c r="S1734" t="s">
        <v>3321</v>
      </c>
      <c r="U1734" t="s">
        <v>769</v>
      </c>
      <c r="X1734">
        <v>1</v>
      </c>
      <c r="Y1734" t="s">
        <v>770</v>
      </c>
      <c r="AH1734" t="s">
        <v>359</v>
      </c>
    </row>
    <row r="1735" spans="1:34" ht="15.75">
      <c r="A1735" s="29">
        <f t="shared" si="27"/>
        <v>48</v>
      </c>
      <c r="B1735" s="8">
        <v>663</v>
      </c>
      <c r="C1735" s="2">
        <v>9</v>
      </c>
      <c r="D1735" s="2">
        <v>1817</v>
      </c>
      <c r="E1735">
        <v>6994</v>
      </c>
      <c r="F1735" s="9"/>
      <c r="G1735" s="7"/>
      <c r="H1735" s="7" t="s">
        <v>1540</v>
      </c>
      <c r="I1735" s="8">
        <v>48</v>
      </c>
      <c r="J1735" s="8">
        <v>0</v>
      </c>
      <c r="K1735" s="2" t="s">
        <v>867</v>
      </c>
      <c r="L1735" s="43" t="s">
        <v>2899</v>
      </c>
      <c r="P1735" s="41">
        <v>25</v>
      </c>
      <c r="Q1735" s="41">
        <v>10</v>
      </c>
      <c r="R1735" s="41" t="s">
        <v>1547</v>
      </c>
      <c r="S1735" t="s">
        <v>3321</v>
      </c>
      <c r="AH1735" t="s">
        <v>359</v>
      </c>
    </row>
    <row r="1736" spans="1:34" ht="15.75">
      <c r="A1736" s="39">
        <f t="shared" si="27"/>
        <v>68</v>
      </c>
      <c r="B1736" s="8">
        <v>663</v>
      </c>
      <c r="C1736" s="2">
        <v>9</v>
      </c>
      <c r="D1736" s="2">
        <v>1817</v>
      </c>
      <c r="E1736">
        <v>6995</v>
      </c>
      <c r="F1736" s="9"/>
      <c r="G1736" s="7"/>
      <c r="H1736" s="7" t="s">
        <v>1541</v>
      </c>
      <c r="I1736" s="8">
        <v>68</v>
      </c>
      <c r="J1736" s="8">
        <v>0</v>
      </c>
      <c r="K1736" s="2" t="s">
        <v>867</v>
      </c>
      <c r="L1736" s="43" t="s">
        <v>3610</v>
      </c>
      <c r="P1736" s="41">
        <v>13</v>
      </c>
      <c r="Q1736" s="41">
        <v>2</v>
      </c>
      <c r="R1736" s="41" t="s">
        <v>1547</v>
      </c>
      <c r="S1736" t="s">
        <v>3321</v>
      </c>
      <c r="AH1736" t="s">
        <v>359</v>
      </c>
    </row>
    <row r="1737" spans="1:34" ht="15.75">
      <c r="A1737" s="29">
        <f t="shared" si="27"/>
        <v>137</v>
      </c>
      <c r="B1737" s="8">
        <v>663</v>
      </c>
      <c r="C1737" s="2">
        <v>9</v>
      </c>
      <c r="D1737" s="2">
        <v>1817</v>
      </c>
      <c r="E1737">
        <v>6996</v>
      </c>
      <c r="F1737" s="9"/>
      <c r="G1737" s="7"/>
      <c r="H1737" s="7" t="s">
        <v>1540</v>
      </c>
      <c r="I1737" s="8">
        <v>137</v>
      </c>
      <c r="J1737" s="8">
        <v>0</v>
      </c>
      <c r="K1737" s="2" t="s">
        <v>867</v>
      </c>
      <c r="L1737" s="43" t="s">
        <v>3361</v>
      </c>
      <c r="P1737" s="41">
        <v>6</v>
      </c>
      <c r="Q1737" s="41">
        <v>6</v>
      </c>
      <c r="R1737" s="41">
        <v>59</v>
      </c>
      <c r="S1737" t="s">
        <v>3321</v>
      </c>
      <c r="AH1737" t="s">
        <v>359</v>
      </c>
    </row>
    <row r="1738" spans="1:34" ht="15.75">
      <c r="A1738" s="29">
        <f t="shared" si="27"/>
        <v>17721</v>
      </c>
      <c r="B1738" s="8">
        <v>663</v>
      </c>
      <c r="C1738" s="2">
        <v>9</v>
      </c>
      <c r="D1738" s="2">
        <v>1817</v>
      </c>
      <c r="E1738">
        <v>6997</v>
      </c>
      <c r="F1738" s="9"/>
      <c r="G1738" s="7"/>
      <c r="H1738" s="7" t="s">
        <v>1541</v>
      </c>
      <c r="I1738" s="8">
        <v>2521</v>
      </c>
      <c r="J1738" s="8">
        <v>1520</v>
      </c>
      <c r="K1738" s="2" t="s">
        <v>867</v>
      </c>
      <c r="L1738" s="43" t="s">
        <v>771</v>
      </c>
      <c r="M1738" s="41" t="s">
        <v>1367</v>
      </c>
      <c r="O1738" s="41" t="s">
        <v>773</v>
      </c>
      <c r="P1738" s="41">
        <v>10</v>
      </c>
      <c r="Q1738" s="41">
        <v>8</v>
      </c>
      <c r="R1738" s="41" t="s">
        <v>1547</v>
      </c>
      <c r="S1738" t="s">
        <v>772</v>
      </c>
      <c r="T1738" t="s">
        <v>774</v>
      </c>
      <c r="V1738" t="s">
        <v>3373</v>
      </c>
      <c r="X1738">
        <v>0.5</v>
      </c>
      <c r="Y1738" t="s">
        <v>775</v>
      </c>
      <c r="AH1738" t="s">
        <v>359</v>
      </c>
    </row>
    <row r="1739" spans="1:34" ht="15.75">
      <c r="A1739" s="29">
        <f t="shared" si="27"/>
        <v>759</v>
      </c>
      <c r="B1739" s="8">
        <v>663</v>
      </c>
      <c r="C1739" s="2">
        <v>9</v>
      </c>
      <c r="D1739" s="2">
        <v>1817</v>
      </c>
      <c r="E1739">
        <v>6998</v>
      </c>
      <c r="F1739" s="9"/>
      <c r="G1739" s="7"/>
      <c r="H1739" s="7" t="s">
        <v>1540</v>
      </c>
      <c r="I1739" s="8">
        <f>259+500</f>
        <v>759</v>
      </c>
      <c r="J1739" s="8">
        <v>0</v>
      </c>
      <c r="K1739" s="2" t="s">
        <v>867</v>
      </c>
      <c r="L1739" s="43" t="s">
        <v>3614</v>
      </c>
      <c r="P1739" s="41">
        <v>11</v>
      </c>
      <c r="Q1739" s="41">
        <v>4</v>
      </c>
      <c r="R1739" s="41">
        <v>32</v>
      </c>
      <c r="S1739" t="s">
        <v>3321</v>
      </c>
      <c r="AH1739" t="s">
        <v>359</v>
      </c>
    </row>
    <row r="1740" spans="1:34" ht="15.75">
      <c r="A1740" s="29">
        <f t="shared" si="27"/>
        <v>80</v>
      </c>
      <c r="B1740" s="8">
        <v>663</v>
      </c>
      <c r="C1740" s="2">
        <v>9</v>
      </c>
      <c r="D1740" s="2">
        <v>1817</v>
      </c>
      <c r="E1740">
        <v>6999</v>
      </c>
      <c r="F1740" s="9"/>
      <c r="G1740" s="7"/>
      <c r="H1740" s="7" t="s">
        <v>1540</v>
      </c>
      <c r="I1740" s="8">
        <v>80</v>
      </c>
      <c r="J1740" s="8">
        <v>0</v>
      </c>
      <c r="K1740" s="2" t="s">
        <v>867</v>
      </c>
      <c r="L1740" s="43" t="s">
        <v>3616</v>
      </c>
      <c r="P1740" s="41">
        <v>21</v>
      </c>
      <c r="Q1740" s="41">
        <v>5</v>
      </c>
      <c r="R1740" s="41">
        <v>74</v>
      </c>
      <c r="S1740" t="s">
        <v>3321</v>
      </c>
      <c r="AH1740" t="s">
        <v>359</v>
      </c>
    </row>
    <row r="1741" spans="1:34" ht="15.75">
      <c r="A1741" s="29">
        <f t="shared" si="27"/>
        <v>32089</v>
      </c>
      <c r="B1741" s="8">
        <v>663</v>
      </c>
      <c r="C1741" s="2">
        <v>9</v>
      </c>
      <c r="D1741" s="2">
        <v>1817</v>
      </c>
      <c r="E1741">
        <v>7000</v>
      </c>
      <c r="F1741" s="9"/>
      <c r="G1741" s="7"/>
      <c r="H1741" s="7" t="s">
        <v>1541</v>
      </c>
      <c r="I1741" s="8">
        <f>29089+3000</f>
        <v>32089</v>
      </c>
      <c r="J1741" s="8">
        <v>0</v>
      </c>
      <c r="K1741" s="2" t="s">
        <v>867</v>
      </c>
      <c r="L1741" s="43" t="s">
        <v>1554</v>
      </c>
      <c r="M1741" s="41" t="s">
        <v>777</v>
      </c>
      <c r="N1741" s="41" t="s">
        <v>778</v>
      </c>
      <c r="O1741" s="41" t="s">
        <v>779</v>
      </c>
      <c r="P1741" s="41">
        <v>10</v>
      </c>
      <c r="Q1741" s="41">
        <v>4</v>
      </c>
      <c r="R1741" s="41">
        <v>25</v>
      </c>
      <c r="S1741" t="s">
        <v>776</v>
      </c>
      <c r="T1741" t="s">
        <v>1158</v>
      </c>
      <c r="V1741" t="s">
        <v>780</v>
      </c>
      <c r="AH1741" t="s">
        <v>359</v>
      </c>
    </row>
    <row r="1742" spans="1:34" ht="15.75">
      <c r="A1742" s="29">
        <f t="shared" si="27"/>
        <v>156</v>
      </c>
      <c r="B1742" s="8">
        <v>663</v>
      </c>
      <c r="C1742" s="2">
        <v>9</v>
      </c>
      <c r="D1742" s="2">
        <v>1817</v>
      </c>
      <c r="E1742">
        <v>7001</v>
      </c>
      <c r="F1742" s="9"/>
      <c r="G1742" s="7"/>
      <c r="H1742" s="7" t="s">
        <v>1540</v>
      </c>
      <c r="I1742" s="8">
        <v>156</v>
      </c>
      <c r="J1742" s="8">
        <v>0</v>
      </c>
      <c r="K1742" s="2" t="s">
        <v>867</v>
      </c>
      <c r="L1742" s="43" t="s">
        <v>3616</v>
      </c>
      <c r="P1742" s="41">
        <v>26</v>
      </c>
      <c r="Q1742" s="41">
        <v>7</v>
      </c>
      <c r="R1742" s="41">
        <v>71</v>
      </c>
      <c r="S1742" t="s">
        <v>3321</v>
      </c>
      <c r="AH1742" t="s">
        <v>359</v>
      </c>
    </row>
    <row r="1743" spans="1:34" ht="15.75">
      <c r="A1743" s="29">
        <f t="shared" si="27"/>
        <v>0</v>
      </c>
      <c r="B1743" s="2">
        <v>663</v>
      </c>
      <c r="C1743" s="2">
        <v>9</v>
      </c>
      <c r="D1743" s="2">
        <v>1817</v>
      </c>
      <c r="E1743">
        <v>7003</v>
      </c>
      <c r="G1743" s="1"/>
      <c r="H1743" s="1" t="s">
        <v>1549</v>
      </c>
      <c r="I1743" s="2">
        <v>0</v>
      </c>
      <c r="J1743" s="2">
        <v>0</v>
      </c>
      <c r="K1743" s="2" t="s">
        <v>867</v>
      </c>
      <c r="L1743" s="43" t="s">
        <v>2895</v>
      </c>
      <c r="P1743" s="41">
        <v>13</v>
      </c>
      <c r="Q1743" s="41">
        <v>4</v>
      </c>
      <c r="R1743" s="41">
        <v>67</v>
      </c>
      <c r="S1743" t="s">
        <v>3321</v>
      </c>
      <c r="V1743" t="s">
        <v>1149</v>
      </c>
      <c r="AH1743" t="s">
        <v>359</v>
      </c>
    </row>
    <row r="1744" spans="1:34" ht="15.75">
      <c r="A1744" s="29">
        <f t="shared" si="27"/>
        <v>13000</v>
      </c>
      <c r="B1744" s="2">
        <v>664</v>
      </c>
      <c r="C1744" s="2">
        <v>9</v>
      </c>
      <c r="D1744" s="2">
        <v>1817</v>
      </c>
      <c r="E1744">
        <v>7057</v>
      </c>
      <c r="G1744" s="1"/>
      <c r="H1744" s="1" t="s">
        <v>850</v>
      </c>
      <c r="I1744" s="2">
        <v>13000</v>
      </c>
      <c r="J1744" s="2">
        <v>0</v>
      </c>
      <c r="K1744" s="2" t="s">
        <v>867</v>
      </c>
      <c r="L1744" s="43" t="s">
        <v>3617</v>
      </c>
      <c r="N1744" s="41" t="s">
        <v>3347</v>
      </c>
      <c r="O1744" s="41" t="s">
        <v>785</v>
      </c>
      <c r="P1744" s="41">
        <v>5</v>
      </c>
      <c r="Q1744" s="41">
        <v>9</v>
      </c>
      <c r="R1744" s="41">
        <v>0.16</v>
      </c>
      <c r="S1744" t="s">
        <v>3343</v>
      </c>
      <c r="AH1744" t="s">
        <v>359</v>
      </c>
    </row>
    <row r="1745" spans="1:34" ht="15.75">
      <c r="A1745" s="29">
        <f t="shared" si="27"/>
        <v>2839</v>
      </c>
      <c r="B1745" s="2">
        <v>664</v>
      </c>
      <c r="C1745" s="2">
        <v>9</v>
      </c>
      <c r="D1745" s="2">
        <v>1817</v>
      </c>
      <c r="E1745">
        <v>7058</v>
      </c>
      <c r="G1745" s="1"/>
      <c r="H1745" s="1" t="s">
        <v>850</v>
      </c>
      <c r="I1745" s="2">
        <v>2839</v>
      </c>
      <c r="J1745" s="2">
        <v>0</v>
      </c>
      <c r="K1745" s="2" t="s">
        <v>867</v>
      </c>
      <c r="L1745" s="43" t="s">
        <v>3619</v>
      </c>
      <c r="P1745" s="41">
        <v>20</v>
      </c>
      <c r="Q1745" s="41">
        <v>3</v>
      </c>
      <c r="R1745" s="41">
        <v>18</v>
      </c>
      <c r="S1745" t="s">
        <v>3321</v>
      </c>
      <c r="AH1745" t="s">
        <v>359</v>
      </c>
    </row>
    <row r="1746" spans="1:34" ht="15.75">
      <c r="A1746" s="29">
        <f t="shared" si="27"/>
        <v>7675</v>
      </c>
      <c r="B1746" s="2">
        <v>664</v>
      </c>
      <c r="C1746" s="2">
        <v>9</v>
      </c>
      <c r="D1746" s="2">
        <v>1817</v>
      </c>
      <c r="E1746">
        <v>7059</v>
      </c>
      <c r="G1746" s="1"/>
      <c r="H1746" s="1" t="s">
        <v>1540</v>
      </c>
      <c r="I1746" s="2">
        <v>7675</v>
      </c>
      <c r="J1746" s="2">
        <v>0</v>
      </c>
      <c r="K1746" s="2" t="s">
        <v>867</v>
      </c>
      <c r="L1746" s="43" t="s">
        <v>3621</v>
      </c>
      <c r="P1746" s="41">
        <v>30</v>
      </c>
      <c r="Q1746" s="41">
        <v>3</v>
      </c>
      <c r="R1746" s="41">
        <v>71</v>
      </c>
      <c r="S1746" t="s">
        <v>1547</v>
      </c>
      <c r="T1746" t="s">
        <v>5826</v>
      </c>
      <c r="AH1746" t="s">
        <v>359</v>
      </c>
    </row>
    <row r="1747" spans="1:34" ht="15.75">
      <c r="A1747" s="29">
        <f t="shared" si="27"/>
        <v>260</v>
      </c>
      <c r="B1747" s="2">
        <v>664</v>
      </c>
      <c r="C1747" s="2">
        <v>9</v>
      </c>
      <c r="D1747" s="2">
        <v>1817</v>
      </c>
      <c r="E1747">
        <v>7060</v>
      </c>
      <c r="G1747" s="1"/>
      <c r="H1747" s="1" t="s">
        <v>1541</v>
      </c>
      <c r="I1747" s="2">
        <v>260</v>
      </c>
      <c r="J1747" s="2">
        <v>0</v>
      </c>
      <c r="K1747" s="2" t="s">
        <v>867</v>
      </c>
      <c r="L1747" s="43" t="s">
        <v>3622</v>
      </c>
      <c r="P1747" s="41">
        <v>28</v>
      </c>
      <c r="Q1747" s="41">
        <v>1</v>
      </c>
      <c r="R1747" s="41">
        <v>82</v>
      </c>
      <c r="S1747" t="s">
        <v>3329</v>
      </c>
      <c r="AH1747" t="s">
        <v>359</v>
      </c>
    </row>
    <row r="1748" spans="1:34" ht="15.75">
      <c r="A1748" s="29">
        <f t="shared" si="27"/>
        <v>730</v>
      </c>
      <c r="B1748" s="2">
        <v>664</v>
      </c>
      <c r="C1748" s="2">
        <v>9</v>
      </c>
      <c r="D1748" s="2">
        <v>1817</v>
      </c>
      <c r="E1748">
        <v>7061</v>
      </c>
      <c r="G1748" s="1"/>
      <c r="H1748" s="1" t="s">
        <v>1541</v>
      </c>
      <c r="I1748" s="2">
        <v>730</v>
      </c>
      <c r="J1748" s="2">
        <v>0</v>
      </c>
      <c r="K1748" s="2" t="s">
        <v>867</v>
      </c>
      <c r="L1748" s="43" t="s">
        <v>3622</v>
      </c>
      <c r="P1748" s="41">
        <v>16</v>
      </c>
      <c r="Q1748" s="41">
        <v>5</v>
      </c>
      <c r="R1748" s="41">
        <v>74</v>
      </c>
      <c r="S1748" t="s">
        <v>3321</v>
      </c>
      <c r="AH1748" t="s">
        <v>359</v>
      </c>
    </row>
    <row r="1749" spans="1:34" ht="15.75">
      <c r="A1749" s="29">
        <f t="shared" si="27"/>
        <v>6091</v>
      </c>
      <c r="B1749" s="2">
        <v>664</v>
      </c>
      <c r="C1749" s="2">
        <v>9</v>
      </c>
      <c r="D1749" s="2">
        <v>1817</v>
      </c>
      <c r="E1749">
        <v>7062</v>
      </c>
      <c r="G1749" s="1"/>
      <c r="H1749" s="1" t="s">
        <v>1540</v>
      </c>
      <c r="I1749" s="2">
        <v>6091</v>
      </c>
      <c r="J1749" s="2">
        <v>0</v>
      </c>
      <c r="K1749" s="2" t="s">
        <v>867</v>
      </c>
      <c r="L1749" s="43" t="s">
        <v>3622</v>
      </c>
      <c r="P1749" s="41">
        <v>12</v>
      </c>
      <c r="Q1749" s="41">
        <v>12</v>
      </c>
      <c r="R1749" s="41" t="s">
        <v>1547</v>
      </c>
      <c r="S1749" t="s">
        <v>3343</v>
      </c>
      <c r="AH1749" t="s">
        <v>359</v>
      </c>
    </row>
    <row r="1750" spans="1:34" ht="15.75">
      <c r="A1750" s="39">
        <f t="shared" si="27"/>
        <v>12579</v>
      </c>
      <c r="B1750" s="2">
        <v>664</v>
      </c>
      <c r="C1750" s="2">
        <v>9</v>
      </c>
      <c r="D1750" s="2">
        <v>1817</v>
      </c>
      <c r="E1750">
        <v>7063</v>
      </c>
      <c r="G1750" s="1"/>
      <c r="H1750" s="1" t="s">
        <v>1540</v>
      </c>
      <c r="I1750" s="2">
        <v>12579</v>
      </c>
      <c r="J1750" s="2">
        <v>0</v>
      </c>
      <c r="K1750" s="2" t="s">
        <v>867</v>
      </c>
      <c r="L1750" s="43" t="s">
        <v>3623</v>
      </c>
      <c r="P1750" s="41">
        <v>18</v>
      </c>
      <c r="Q1750" s="41">
        <v>11</v>
      </c>
      <c r="R1750" s="41">
        <v>74</v>
      </c>
      <c r="S1750" t="s">
        <v>1547</v>
      </c>
      <c r="T1750" t="s">
        <v>3653</v>
      </c>
      <c r="AH1750" t="s">
        <v>359</v>
      </c>
    </row>
    <row r="1751" spans="1:34" ht="15.75">
      <c r="A1751" s="29">
        <f t="shared" si="27"/>
        <v>11682</v>
      </c>
      <c r="B1751" s="2">
        <v>664</v>
      </c>
      <c r="C1751" s="2">
        <v>9</v>
      </c>
      <c r="D1751" s="2">
        <v>1817</v>
      </c>
      <c r="E1751">
        <v>7064</v>
      </c>
      <c r="G1751" s="1"/>
      <c r="H1751" s="1" t="s">
        <v>1541</v>
      </c>
      <c r="I1751" s="2">
        <v>442</v>
      </c>
      <c r="J1751" s="2">
        <v>562</v>
      </c>
      <c r="K1751" s="2" t="s">
        <v>867</v>
      </c>
      <c r="L1751" s="43" t="s">
        <v>3624</v>
      </c>
      <c r="P1751" s="41">
        <v>3</v>
      </c>
      <c r="Q1751" s="41">
        <v>3</v>
      </c>
      <c r="R1751" s="41">
        <v>77</v>
      </c>
      <c r="S1751" t="s">
        <v>3329</v>
      </c>
      <c r="X1751">
        <v>1</v>
      </c>
      <c r="Y1751" t="s">
        <v>786</v>
      </c>
      <c r="AH1751" t="s">
        <v>359</v>
      </c>
    </row>
    <row r="1752" spans="1:34" ht="15.75">
      <c r="A1752" s="29">
        <f t="shared" si="27"/>
        <v>863</v>
      </c>
      <c r="B1752" s="2">
        <v>665</v>
      </c>
      <c r="C1752" s="2">
        <v>9</v>
      </c>
      <c r="D1752" s="2">
        <v>1817</v>
      </c>
      <c r="E1752">
        <v>7098</v>
      </c>
      <c r="G1752" s="1"/>
      <c r="H1752" s="1" t="s">
        <v>1541</v>
      </c>
      <c r="I1752" s="2">
        <v>863</v>
      </c>
      <c r="J1752" s="2">
        <v>0</v>
      </c>
      <c r="K1752" s="2" t="s">
        <v>867</v>
      </c>
      <c r="L1752" s="43" t="s">
        <v>3625</v>
      </c>
      <c r="P1752" s="41">
        <v>3</v>
      </c>
      <c r="Q1752" s="41">
        <v>3</v>
      </c>
      <c r="R1752" s="41">
        <v>83</v>
      </c>
      <c r="S1752" t="s">
        <v>1547</v>
      </c>
      <c r="AH1752" t="s">
        <v>359</v>
      </c>
    </row>
    <row r="1753" spans="1:34" ht="15.75">
      <c r="A1753" s="29">
        <f t="shared" si="27"/>
        <v>3780</v>
      </c>
      <c r="B1753" s="2">
        <v>665</v>
      </c>
      <c r="C1753" s="2">
        <v>9</v>
      </c>
      <c r="D1753" s="2">
        <v>1817</v>
      </c>
      <c r="E1753">
        <v>7099</v>
      </c>
      <c r="G1753" s="1"/>
      <c r="H1753" s="1" t="s">
        <v>1541</v>
      </c>
      <c r="I1753" s="2">
        <v>3780</v>
      </c>
      <c r="J1753" s="2">
        <v>0</v>
      </c>
      <c r="K1753" s="2" t="s">
        <v>867</v>
      </c>
      <c r="L1753" s="43" t="s">
        <v>3625</v>
      </c>
      <c r="P1753" s="41">
        <v>4</v>
      </c>
      <c r="Q1753" s="41">
        <v>4</v>
      </c>
      <c r="R1753" s="41">
        <v>73</v>
      </c>
      <c r="S1753" t="s">
        <v>3329</v>
      </c>
      <c r="AH1753" t="s">
        <v>359</v>
      </c>
    </row>
    <row r="1754" spans="1:34" ht="15.75">
      <c r="A1754" s="29">
        <f t="shared" si="27"/>
        <v>22149</v>
      </c>
      <c r="B1754" s="8">
        <v>665</v>
      </c>
      <c r="C1754" s="2">
        <v>9</v>
      </c>
      <c r="D1754" s="2">
        <v>1817</v>
      </c>
      <c r="E1754">
        <v>7100</v>
      </c>
      <c r="F1754" s="9"/>
      <c r="G1754" s="7"/>
      <c r="H1754" s="7" t="s">
        <v>1541</v>
      </c>
      <c r="I1754" s="8">
        <v>149</v>
      </c>
      <c r="J1754" s="8">
        <v>1100</v>
      </c>
      <c r="K1754" s="2" t="s">
        <v>867</v>
      </c>
      <c r="L1754" s="43" t="s">
        <v>787</v>
      </c>
      <c r="M1754" s="41" t="s">
        <v>789</v>
      </c>
      <c r="N1754" s="41" t="s">
        <v>1555</v>
      </c>
      <c r="O1754" s="41" t="s">
        <v>790</v>
      </c>
      <c r="P1754" s="41">
        <v>15</v>
      </c>
      <c r="Q1754" s="41">
        <v>7</v>
      </c>
      <c r="R1754" s="41">
        <v>76</v>
      </c>
      <c r="S1754" t="s">
        <v>788</v>
      </c>
      <c r="T1754" t="s">
        <v>791</v>
      </c>
      <c r="V1754" t="s">
        <v>792</v>
      </c>
      <c r="X1754">
        <v>1</v>
      </c>
      <c r="Y1754" t="s">
        <v>793</v>
      </c>
      <c r="AH1754" t="s">
        <v>359</v>
      </c>
    </row>
    <row r="1755" spans="1:34" ht="15.75">
      <c r="A1755" s="29">
        <f t="shared" si="27"/>
        <v>600</v>
      </c>
      <c r="B1755" s="2">
        <v>665</v>
      </c>
      <c r="C1755" s="2">
        <v>9</v>
      </c>
      <c r="D1755" s="2">
        <v>1817</v>
      </c>
      <c r="E1755">
        <v>7101</v>
      </c>
      <c r="G1755" s="1"/>
      <c r="H1755" s="1" t="s">
        <v>1541</v>
      </c>
      <c r="I1755" s="2">
        <v>600</v>
      </c>
      <c r="J1755" s="2">
        <v>0</v>
      </c>
      <c r="K1755" s="2" t="s">
        <v>867</v>
      </c>
      <c r="L1755" s="43" t="s">
        <v>3347</v>
      </c>
      <c r="P1755" s="41">
        <v>26</v>
      </c>
      <c r="Q1755" s="41">
        <v>7</v>
      </c>
      <c r="R1755" s="41">
        <v>64</v>
      </c>
      <c r="S1755" t="s">
        <v>3321</v>
      </c>
      <c r="AH1755" t="s">
        <v>359</v>
      </c>
    </row>
    <row r="1756" spans="1:34" ht="15.75">
      <c r="A1756" s="29">
        <f t="shared" si="27"/>
        <v>80</v>
      </c>
      <c r="B1756" s="2">
        <v>665</v>
      </c>
      <c r="C1756" s="2">
        <v>9</v>
      </c>
      <c r="D1756" s="2">
        <v>1817</v>
      </c>
      <c r="E1756">
        <v>7102</v>
      </c>
      <c r="G1756" s="1"/>
      <c r="H1756" s="1" t="s">
        <v>1540</v>
      </c>
      <c r="I1756" s="2">
        <v>80</v>
      </c>
      <c r="J1756" s="2">
        <v>0</v>
      </c>
      <c r="K1756" s="2" t="s">
        <v>867</v>
      </c>
      <c r="L1756" s="43" t="s">
        <v>3347</v>
      </c>
      <c r="P1756" s="41">
        <v>13</v>
      </c>
      <c r="Q1756" s="41">
        <v>10</v>
      </c>
      <c r="R1756" s="41">
        <v>54</v>
      </c>
      <c r="S1756" t="s">
        <v>3321</v>
      </c>
      <c r="AH1756" t="s">
        <v>359</v>
      </c>
    </row>
    <row r="1757" spans="1:34" ht="15.75">
      <c r="A1757" s="29">
        <f t="shared" si="27"/>
        <v>9093</v>
      </c>
      <c r="B1757" s="2">
        <v>665</v>
      </c>
      <c r="C1757" s="2">
        <v>9</v>
      </c>
      <c r="D1757" s="2">
        <v>1817</v>
      </c>
      <c r="E1757">
        <v>7103</v>
      </c>
      <c r="G1757" s="1"/>
      <c r="H1757" s="1" t="s">
        <v>1541</v>
      </c>
      <c r="I1757" s="2">
        <f>1410+5517+2166</f>
        <v>9093</v>
      </c>
      <c r="J1757" s="2">
        <v>0</v>
      </c>
      <c r="K1757" s="2" t="s">
        <v>867</v>
      </c>
      <c r="L1757" s="43" t="s">
        <v>3347</v>
      </c>
      <c r="P1757" s="41">
        <v>27</v>
      </c>
      <c r="Q1757" s="41">
        <v>10</v>
      </c>
      <c r="R1757" s="41">
        <v>81</v>
      </c>
      <c r="S1757" t="s">
        <v>3321</v>
      </c>
      <c r="AH1757" t="s">
        <v>359</v>
      </c>
    </row>
    <row r="1758" spans="1:34" ht="15.75">
      <c r="A1758" s="29">
        <f t="shared" si="27"/>
        <v>793</v>
      </c>
      <c r="B1758" s="2">
        <v>665</v>
      </c>
      <c r="C1758" s="2">
        <v>9</v>
      </c>
      <c r="D1758" s="2">
        <v>1817</v>
      </c>
      <c r="E1758">
        <v>7106</v>
      </c>
      <c r="G1758" s="1"/>
      <c r="H1758" s="1" t="s">
        <v>850</v>
      </c>
      <c r="I1758" s="2">
        <v>793</v>
      </c>
      <c r="J1758" s="2">
        <v>0</v>
      </c>
      <c r="K1758" s="2" t="s">
        <v>867</v>
      </c>
      <c r="L1758" s="43" t="s">
        <v>3633</v>
      </c>
      <c r="P1758" s="41">
        <v>16</v>
      </c>
      <c r="Q1758" s="41">
        <v>10</v>
      </c>
      <c r="R1758" s="41">
        <v>47</v>
      </c>
      <c r="S1758" t="s">
        <v>3321</v>
      </c>
      <c r="AH1758" t="s">
        <v>359</v>
      </c>
    </row>
    <row r="1759" spans="1:34" ht="15.75">
      <c r="A1759" s="29">
        <f t="shared" si="27"/>
        <v>835</v>
      </c>
      <c r="B1759" s="2">
        <v>665</v>
      </c>
      <c r="C1759" s="2">
        <v>9</v>
      </c>
      <c r="D1759" s="2">
        <v>1817</v>
      </c>
      <c r="E1759">
        <v>7107</v>
      </c>
      <c r="G1759" s="1"/>
      <c r="H1759" s="1" t="s">
        <v>1540</v>
      </c>
      <c r="I1759" s="2">
        <v>835</v>
      </c>
      <c r="J1759" s="2">
        <v>0</v>
      </c>
      <c r="K1759" s="2" t="s">
        <v>867</v>
      </c>
      <c r="L1759" s="43" t="s">
        <v>794</v>
      </c>
      <c r="P1759" s="41">
        <v>17</v>
      </c>
      <c r="Q1759" s="41">
        <v>7</v>
      </c>
      <c r="R1759" s="41">
        <v>41</v>
      </c>
      <c r="S1759" t="s">
        <v>1547</v>
      </c>
      <c r="AH1759" t="s">
        <v>359</v>
      </c>
    </row>
    <row r="1760" spans="1:34" ht="15.75">
      <c r="A1760" s="29">
        <f t="shared" si="27"/>
        <v>1652</v>
      </c>
      <c r="B1760" s="2">
        <v>665</v>
      </c>
      <c r="C1760" s="2">
        <v>9</v>
      </c>
      <c r="D1760" s="2">
        <v>1817</v>
      </c>
      <c r="E1760">
        <v>7108</v>
      </c>
      <c r="G1760" s="1"/>
      <c r="H1760" s="1" t="s">
        <v>1541</v>
      </c>
      <c r="I1760" s="2">
        <v>1652</v>
      </c>
      <c r="J1760" s="2">
        <v>0</v>
      </c>
      <c r="K1760" s="2" t="s">
        <v>867</v>
      </c>
      <c r="L1760" s="43" t="s">
        <v>5909</v>
      </c>
      <c r="P1760" s="41">
        <v>3</v>
      </c>
      <c r="Q1760" s="41">
        <v>8</v>
      </c>
      <c r="R1760" s="41">
        <v>74</v>
      </c>
      <c r="S1760" t="s">
        <v>3329</v>
      </c>
      <c r="AH1760" t="s">
        <v>359</v>
      </c>
    </row>
    <row r="1761" spans="1:34" ht="15.75">
      <c r="A1761" s="29">
        <f t="shared" si="27"/>
        <v>0</v>
      </c>
      <c r="B1761" s="2">
        <v>665</v>
      </c>
      <c r="C1761" s="2">
        <v>9</v>
      </c>
      <c r="D1761" s="2">
        <v>1817</v>
      </c>
      <c r="E1761">
        <v>7109</v>
      </c>
      <c r="G1761" s="1"/>
      <c r="H1761" s="1" t="s">
        <v>1549</v>
      </c>
      <c r="I1761" s="2">
        <v>0</v>
      </c>
      <c r="J1761" s="2">
        <v>0</v>
      </c>
      <c r="K1761" s="2" t="s">
        <v>867</v>
      </c>
      <c r="L1761" s="43" t="s">
        <v>795</v>
      </c>
      <c r="P1761" s="41">
        <v>14</v>
      </c>
      <c r="Q1761" s="41">
        <v>1</v>
      </c>
      <c r="R1761" s="41">
        <v>87</v>
      </c>
      <c r="S1761" t="s">
        <v>3321</v>
      </c>
      <c r="AH1761" t="s">
        <v>359</v>
      </c>
    </row>
    <row r="1762" spans="1:34" ht="15.75">
      <c r="A1762" s="29">
        <f t="shared" si="27"/>
        <v>21193</v>
      </c>
      <c r="B1762" s="2">
        <v>666</v>
      </c>
      <c r="C1762" s="2">
        <v>9</v>
      </c>
      <c r="D1762" s="2">
        <v>1817</v>
      </c>
      <c r="E1762">
        <v>7156</v>
      </c>
      <c r="G1762" s="1"/>
      <c r="H1762" s="1" t="s">
        <v>1541</v>
      </c>
      <c r="I1762" s="2">
        <v>2443</v>
      </c>
      <c r="J1762" s="2">
        <f>1450+425</f>
        <v>1875</v>
      </c>
      <c r="K1762" s="2" t="s">
        <v>868</v>
      </c>
      <c r="L1762" s="43" t="s">
        <v>796</v>
      </c>
      <c r="M1762" s="41" t="s">
        <v>4912</v>
      </c>
      <c r="O1762" s="41" t="s">
        <v>798</v>
      </c>
      <c r="P1762" s="41">
        <v>7</v>
      </c>
      <c r="Q1762" s="41">
        <v>6</v>
      </c>
      <c r="R1762" s="41" t="s">
        <v>1547</v>
      </c>
      <c r="S1762" t="s">
        <v>797</v>
      </c>
      <c r="T1762" t="s">
        <v>799</v>
      </c>
      <c r="V1762" t="s">
        <v>1547</v>
      </c>
      <c r="X1762">
        <v>0.5</v>
      </c>
      <c r="Y1762" t="s">
        <v>800</v>
      </c>
      <c r="AH1762" t="s">
        <v>359</v>
      </c>
    </row>
    <row r="1763" spans="1:34" ht="15.75">
      <c r="A1763" s="29">
        <f t="shared" si="27"/>
        <v>1652</v>
      </c>
      <c r="B1763" s="2">
        <v>666</v>
      </c>
      <c r="C1763" s="2">
        <v>9</v>
      </c>
      <c r="D1763" s="2">
        <v>1817</v>
      </c>
      <c r="E1763">
        <v>7157</v>
      </c>
      <c r="G1763" s="1"/>
      <c r="H1763" s="1" t="s">
        <v>1541</v>
      </c>
      <c r="I1763" s="2">
        <v>1652</v>
      </c>
      <c r="J1763" s="2">
        <v>0</v>
      </c>
      <c r="K1763" s="2" t="s">
        <v>868</v>
      </c>
      <c r="L1763" s="43" t="s">
        <v>3700</v>
      </c>
      <c r="P1763" s="41">
        <v>3</v>
      </c>
      <c r="Q1763" s="41">
        <v>8</v>
      </c>
      <c r="R1763" s="41">
        <v>74</v>
      </c>
      <c r="S1763" t="s">
        <v>3329</v>
      </c>
      <c r="AH1763" t="s">
        <v>359</v>
      </c>
    </row>
    <row r="1764" spans="1:34" ht="15.75">
      <c r="A1764" s="29">
        <f t="shared" si="27"/>
        <v>24000</v>
      </c>
      <c r="B1764" s="8">
        <v>666</v>
      </c>
      <c r="C1764" s="2">
        <v>9</v>
      </c>
      <c r="D1764" s="2">
        <v>1817</v>
      </c>
      <c r="E1764">
        <v>7158</v>
      </c>
      <c r="F1764" s="9"/>
      <c r="G1764" s="7"/>
      <c r="H1764" s="7" t="s">
        <v>1541</v>
      </c>
      <c r="I1764" s="8">
        <v>0</v>
      </c>
      <c r="J1764" s="8">
        <v>1200</v>
      </c>
      <c r="K1764" s="2" t="s">
        <v>868</v>
      </c>
      <c r="L1764" s="43" t="s">
        <v>801</v>
      </c>
      <c r="M1764" s="43" t="s">
        <v>4912</v>
      </c>
      <c r="N1764" s="43"/>
      <c r="O1764" s="43" t="s">
        <v>803</v>
      </c>
      <c r="P1764" s="43">
        <v>22</v>
      </c>
      <c r="Q1764" s="43">
        <v>12</v>
      </c>
      <c r="R1764" s="43"/>
      <c r="S1764" t="s">
        <v>802</v>
      </c>
      <c r="T1764" t="s">
        <v>804</v>
      </c>
      <c r="V1764" t="s">
        <v>805</v>
      </c>
      <c r="X1764">
        <v>1</v>
      </c>
      <c r="Y1764" t="s">
        <v>806</v>
      </c>
      <c r="AH1764" t="s">
        <v>359</v>
      </c>
    </row>
    <row r="1765" spans="1:34" ht="15.75">
      <c r="A1765" s="29">
        <f t="shared" si="27"/>
        <v>63</v>
      </c>
      <c r="B1765" s="8">
        <v>666</v>
      </c>
      <c r="C1765" s="2">
        <v>9</v>
      </c>
      <c r="D1765" s="2">
        <v>1817</v>
      </c>
      <c r="E1765">
        <v>7159</v>
      </c>
      <c r="F1765" s="9"/>
      <c r="G1765" s="7"/>
      <c r="H1765" s="7" t="s">
        <v>1540</v>
      </c>
      <c r="I1765" s="8">
        <v>63</v>
      </c>
      <c r="J1765" s="8">
        <v>0</v>
      </c>
      <c r="K1765" s="2" t="s">
        <v>868</v>
      </c>
      <c r="L1765" s="43" t="s">
        <v>807</v>
      </c>
      <c r="P1765" s="41">
        <v>3</v>
      </c>
      <c r="Q1765" s="41">
        <v>5</v>
      </c>
      <c r="R1765" s="41">
        <v>19</v>
      </c>
      <c r="S1765" t="s">
        <v>3321</v>
      </c>
      <c r="AH1765" t="s">
        <v>359</v>
      </c>
    </row>
    <row r="1766" spans="1:34" ht="15.75">
      <c r="A1766" s="29">
        <f t="shared" si="27"/>
        <v>1652</v>
      </c>
      <c r="B1766" s="8">
        <v>666</v>
      </c>
      <c r="C1766" s="2">
        <v>9</v>
      </c>
      <c r="D1766" s="2">
        <v>1817</v>
      </c>
      <c r="E1766">
        <v>7160</v>
      </c>
      <c r="F1766" s="9"/>
      <c r="G1766" s="7"/>
      <c r="H1766" s="7" t="s">
        <v>1540</v>
      </c>
      <c r="I1766" s="8">
        <v>1652</v>
      </c>
      <c r="J1766" s="8">
        <v>0</v>
      </c>
      <c r="K1766" s="2" t="s">
        <v>868</v>
      </c>
      <c r="L1766" s="43" t="s">
        <v>3702</v>
      </c>
      <c r="P1766" s="41">
        <v>3</v>
      </c>
      <c r="Q1766" s="41">
        <v>8</v>
      </c>
      <c r="R1766" s="41" t="s">
        <v>1547</v>
      </c>
      <c r="S1766" t="s">
        <v>3329</v>
      </c>
      <c r="AH1766" t="s">
        <v>359</v>
      </c>
    </row>
    <row r="1767" spans="1:34" ht="15.75">
      <c r="A1767" s="29">
        <f t="shared" si="27"/>
        <v>4526</v>
      </c>
      <c r="B1767" s="8">
        <v>666</v>
      </c>
      <c r="C1767" s="2">
        <v>9</v>
      </c>
      <c r="D1767" s="2">
        <v>1817</v>
      </c>
      <c r="E1767">
        <v>7161</v>
      </c>
      <c r="F1767" s="9"/>
      <c r="G1767" s="7"/>
      <c r="H1767" s="7" t="s">
        <v>1540</v>
      </c>
      <c r="I1767" s="8">
        <f>3782+144+600</f>
        <v>4526</v>
      </c>
      <c r="J1767" s="8">
        <v>0</v>
      </c>
      <c r="K1767" s="2" t="s">
        <v>868</v>
      </c>
      <c r="L1767" s="43" t="s">
        <v>5917</v>
      </c>
      <c r="P1767" s="41">
        <v>24</v>
      </c>
      <c r="Q1767" s="41">
        <v>6</v>
      </c>
      <c r="R1767" s="41">
        <v>41</v>
      </c>
      <c r="S1767" t="s">
        <v>3321</v>
      </c>
      <c r="AH1767" t="s">
        <v>359</v>
      </c>
    </row>
    <row r="1768" spans="1:34" ht="15.75">
      <c r="A1768" s="29">
        <f t="shared" si="27"/>
        <v>21683</v>
      </c>
      <c r="B1768" s="8">
        <v>666</v>
      </c>
      <c r="C1768" s="2">
        <v>9</v>
      </c>
      <c r="D1768" s="2">
        <v>1817</v>
      </c>
      <c r="E1768">
        <v>7163</v>
      </c>
      <c r="F1768" s="9"/>
      <c r="G1768" s="7"/>
      <c r="H1768" s="7" t="s">
        <v>1540</v>
      </c>
      <c r="I1768" s="8">
        <v>21683</v>
      </c>
      <c r="J1768" s="8">
        <v>0</v>
      </c>
      <c r="K1768" s="2" t="s">
        <v>868</v>
      </c>
      <c r="L1768" s="43" t="s">
        <v>808</v>
      </c>
      <c r="M1768" s="41" t="s">
        <v>1298</v>
      </c>
      <c r="N1768" s="41" t="s">
        <v>809</v>
      </c>
      <c r="O1768" s="41" t="s">
        <v>810</v>
      </c>
      <c r="P1768" s="41">
        <v>27</v>
      </c>
      <c r="Q1768" s="41">
        <v>4</v>
      </c>
      <c r="R1768" s="41">
        <v>79</v>
      </c>
      <c r="S1768" t="s">
        <v>4700</v>
      </c>
      <c r="T1768" t="s">
        <v>811</v>
      </c>
      <c r="V1768" t="s">
        <v>1766</v>
      </c>
      <c r="AH1768" t="s">
        <v>359</v>
      </c>
    </row>
    <row r="1769" spans="1:34" ht="15.75">
      <c r="A1769" s="29">
        <f t="shared" si="27"/>
        <v>320</v>
      </c>
      <c r="B1769" s="8">
        <v>666</v>
      </c>
      <c r="C1769" s="2">
        <v>9</v>
      </c>
      <c r="D1769" s="2">
        <v>1817</v>
      </c>
      <c r="E1769">
        <v>7164</v>
      </c>
      <c r="F1769" s="9"/>
      <c r="G1769" s="7"/>
      <c r="H1769" s="7" t="s">
        <v>1541</v>
      </c>
      <c r="I1769" s="8">
        <v>320</v>
      </c>
      <c r="J1769" s="8">
        <v>0</v>
      </c>
      <c r="K1769" s="2" t="s">
        <v>868</v>
      </c>
      <c r="L1769" s="43" t="s">
        <v>812</v>
      </c>
      <c r="P1769" s="41">
        <v>1</v>
      </c>
      <c r="Q1769" s="41">
        <v>5</v>
      </c>
      <c r="R1769" s="41">
        <v>52</v>
      </c>
      <c r="S1769" t="s">
        <v>3343</v>
      </c>
      <c r="AH1769" t="s">
        <v>359</v>
      </c>
    </row>
    <row r="1770" spans="1:34" ht="15.75">
      <c r="A1770" s="29">
        <f t="shared" si="27"/>
        <v>9780</v>
      </c>
      <c r="B1770" s="2">
        <v>666</v>
      </c>
      <c r="C1770" s="2">
        <v>9</v>
      </c>
      <c r="D1770" s="2">
        <v>1817</v>
      </c>
      <c r="E1770">
        <v>7165</v>
      </c>
      <c r="G1770" s="1"/>
      <c r="H1770" s="1" t="s">
        <v>1540</v>
      </c>
      <c r="I1770" s="2">
        <f>655+6750</f>
        <v>7405</v>
      </c>
      <c r="J1770" s="2">
        <v>475</v>
      </c>
      <c r="K1770" s="2" t="s">
        <v>868</v>
      </c>
      <c r="L1770" s="43" t="s">
        <v>5919</v>
      </c>
      <c r="P1770" s="41">
        <v>22</v>
      </c>
      <c r="Q1770" s="41">
        <v>12</v>
      </c>
      <c r="R1770" s="41">
        <v>31</v>
      </c>
      <c r="S1770" t="s">
        <v>3321</v>
      </c>
      <c r="X1770">
        <v>0.25</v>
      </c>
      <c r="Y1770" t="s">
        <v>813</v>
      </c>
      <c r="AH1770" t="s">
        <v>359</v>
      </c>
    </row>
    <row r="1771" spans="1:34" ht="15.75">
      <c r="A1771" s="29">
        <f t="shared" si="27"/>
        <v>59140</v>
      </c>
      <c r="B1771" s="2">
        <v>666</v>
      </c>
      <c r="C1771" s="2">
        <v>9</v>
      </c>
      <c r="D1771" s="2">
        <v>1817</v>
      </c>
      <c r="E1771">
        <v>7166</v>
      </c>
      <c r="G1771" s="1"/>
      <c r="H1771" s="1" t="s">
        <v>1540</v>
      </c>
      <c r="I1771" s="2">
        <f>6000+5990+1150</f>
        <v>13140</v>
      </c>
      <c r="J1771" s="2">
        <v>2300</v>
      </c>
      <c r="K1771" s="2" t="s">
        <v>868</v>
      </c>
      <c r="L1771" s="43" t="s">
        <v>814</v>
      </c>
      <c r="M1771" s="41" t="s">
        <v>816</v>
      </c>
      <c r="N1771" s="41" t="s">
        <v>1545</v>
      </c>
      <c r="O1771" s="41" t="s">
        <v>817</v>
      </c>
      <c r="P1771" s="41">
        <v>1</v>
      </c>
      <c r="Q1771" s="41">
        <v>10</v>
      </c>
      <c r="R1771" s="41">
        <v>62</v>
      </c>
      <c r="S1771" t="s">
        <v>815</v>
      </c>
      <c r="T1771" t="s">
        <v>818</v>
      </c>
      <c r="V1771" t="s">
        <v>819</v>
      </c>
      <c r="X1771">
        <v>1</v>
      </c>
      <c r="Y1771" t="s">
        <v>820</v>
      </c>
      <c r="AA1771" t="s">
        <v>5966</v>
      </c>
      <c r="AH1771" t="s">
        <v>359</v>
      </c>
    </row>
    <row r="1772" spans="1:34" ht="15.75">
      <c r="A1772" s="29">
        <f t="shared" si="27"/>
        <v>64627</v>
      </c>
      <c r="B1772" s="2">
        <v>666</v>
      </c>
      <c r="C1772" s="2">
        <v>9</v>
      </c>
      <c r="D1772" s="2">
        <v>1817</v>
      </c>
      <c r="E1772">
        <v>7167</v>
      </c>
      <c r="G1772" s="1"/>
      <c r="H1772" s="1" t="s">
        <v>1541</v>
      </c>
      <c r="I1772" s="2">
        <v>64627</v>
      </c>
      <c r="J1772" s="2">
        <v>0</v>
      </c>
      <c r="K1772" s="2" t="s">
        <v>868</v>
      </c>
      <c r="L1772" s="43" t="s">
        <v>814</v>
      </c>
      <c r="M1772" s="41" t="s">
        <v>822</v>
      </c>
      <c r="O1772" s="41" t="s">
        <v>823</v>
      </c>
      <c r="P1772" s="41">
        <v>28</v>
      </c>
      <c r="Q1772" s="41">
        <v>10</v>
      </c>
      <c r="R1772" s="41">
        <v>75</v>
      </c>
      <c r="S1772" t="s">
        <v>821</v>
      </c>
      <c r="T1772" t="s">
        <v>824</v>
      </c>
      <c r="V1772" t="s">
        <v>4876</v>
      </c>
      <c r="AH1772" t="s">
        <v>359</v>
      </c>
    </row>
    <row r="1773" spans="1:34" ht="15.75">
      <c r="A1773" s="29">
        <f t="shared" si="27"/>
        <v>2931</v>
      </c>
      <c r="B1773" s="2">
        <v>667</v>
      </c>
      <c r="C1773" s="2">
        <v>9</v>
      </c>
      <c r="D1773" s="2">
        <v>1817</v>
      </c>
      <c r="E1773">
        <v>7189</v>
      </c>
      <c r="G1773" s="1"/>
      <c r="H1773" s="1" t="s">
        <v>1540</v>
      </c>
      <c r="I1773" s="2">
        <v>2931</v>
      </c>
      <c r="J1773" s="2">
        <v>0</v>
      </c>
      <c r="K1773" s="2" t="s">
        <v>868</v>
      </c>
      <c r="L1773" s="43" t="s">
        <v>5921</v>
      </c>
      <c r="P1773" s="41">
        <v>4</v>
      </c>
      <c r="Q1773" s="41">
        <v>2</v>
      </c>
      <c r="R1773" s="41">
        <v>49</v>
      </c>
      <c r="S1773" t="s">
        <v>3321</v>
      </c>
      <c r="AH1773" t="s">
        <v>359</v>
      </c>
    </row>
    <row r="1774" spans="1:34" ht="15.75">
      <c r="A1774" s="29">
        <f t="shared" si="27"/>
        <v>96</v>
      </c>
      <c r="B1774" s="2">
        <v>667</v>
      </c>
      <c r="C1774" s="2">
        <v>9</v>
      </c>
      <c r="D1774" s="2">
        <v>1817</v>
      </c>
      <c r="E1774">
        <v>7190</v>
      </c>
      <c r="G1774" s="1"/>
      <c r="H1774" s="1" t="s">
        <v>1541</v>
      </c>
      <c r="I1774" s="2">
        <v>96</v>
      </c>
      <c r="J1774" s="2">
        <v>0</v>
      </c>
      <c r="K1774" s="2" t="s">
        <v>868</v>
      </c>
      <c r="L1774" s="43" t="s">
        <v>5921</v>
      </c>
      <c r="P1774" s="41">
        <v>9</v>
      </c>
      <c r="Q1774" s="41">
        <v>8</v>
      </c>
      <c r="R1774" s="41" t="s">
        <v>1547</v>
      </c>
      <c r="S1774" t="s">
        <v>3329</v>
      </c>
      <c r="AH1774" t="s">
        <v>359</v>
      </c>
    </row>
    <row r="1775" spans="1:34" ht="15.75">
      <c r="A1775" s="29">
        <f t="shared" si="27"/>
        <v>8111</v>
      </c>
      <c r="B1775" s="2">
        <v>667</v>
      </c>
      <c r="C1775" s="2">
        <v>9</v>
      </c>
      <c r="D1775" s="2">
        <v>1817</v>
      </c>
      <c r="E1775">
        <v>7191</v>
      </c>
      <c r="G1775" s="1"/>
      <c r="H1775" s="1" t="s">
        <v>1540</v>
      </c>
      <c r="I1775" s="2">
        <v>111</v>
      </c>
      <c r="J1775" s="2">
        <v>400</v>
      </c>
      <c r="K1775" s="2" t="s">
        <v>868</v>
      </c>
      <c r="L1775" s="43" t="s">
        <v>825</v>
      </c>
      <c r="P1775" s="41">
        <v>23</v>
      </c>
      <c r="Q1775" s="41">
        <v>20</v>
      </c>
      <c r="R1775" s="41">
        <v>68</v>
      </c>
      <c r="S1775" t="s">
        <v>3324</v>
      </c>
      <c r="X1775">
        <v>1</v>
      </c>
      <c r="Y1775" t="s">
        <v>826</v>
      </c>
      <c r="AH1775" t="s">
        <v>359</v>
      </c>
    </row>
    <row r="1776" spans="1:34" ht="15.75">
      <c r="A1776" s="29">
        <f t="shared" si="27"/>
        <v>4451.5</v>
      </c>
      <c r="B1776" s="2">
        <v>667</v>
      </c>
      <c r="C1776" s="2">
        <v>9</v>
      </c>
      <c r="D1776" s="2">
        <v>1817</v>
      </c>
      <c r="E1776">
        <v>7192</v>
      </c>
      <c r="G1776" s="1"/>
      <c r="H1776" s="1" t="s">
        <v>1540</v>
      </c>
      <c r="I1776" s="2">
        <f>2260+1004</f>
        <v>3264</v>
      </c>
      <c r="J1776" s="2">
        <v>475</v>
      </c>
      <c r="K1776" s="2" t="s">
        <v>868</v>
      </c>
      <c r="L1776" s="43" t="s">
        <v>5923</v>
      </c>
      <c r="P1776" s="41">
        <v>21</v>
      </c>
      <c r="Q1776" s="41">
        <v>8</v>
      </c>
      <c r="R1776" s="41">
        <v>37</v>
      </c>
      <c r="S1776" t="s">
        <v>3343</v>
      </c>
      <c r="X1776">
        <v>0.125</v>
      </c>
      <c r="Y1776" t="s">
        <v>827</v>
      </c>
      <c r="AH1776" t="s">
        <v>359</v>
      </c>
    </row>
    <row r="1777" spans="1:34" ht="15.75">
      <c r="A1777" s="29">
        <f t="shared" si="27"/>
        <v>19</v>
      </c>
      <c r="B1777" s="2">
        <v>667</v>
      </c>
      <c r="C1777" s="2">
        <v>9</v>
      </c>
      <c r="D1777" s="2">
        <v>1817</v>
      </c>
      <c r="E1777">
        <v>7194</v>
      </c>
      <c r="G1777" s="1"/>
      <c r="H1777" s="1" t="s">
        <v>1541</v>
      </c>
      <c r="I1777" s="2">
        <v>19</v>
      </c>
      <c r="J1777" s="2">
        <v>0</v>
      </c>
      <c r="K1777" s="2" t="s">
        <v>868</v>
      </c>
      <c r="L1777" s="43" t="s">
        <v>5928</v>
      </c>
      <c r="P1777" s="41">
        <v>16</v>
      </c>
      <c r="Q1777" s="41">
        <v>1</v>
      </c>
      <c r="R1777" s="41">
        <v>46</v>
      </c>
      <c r="S1777" t="s">
        <v>3321</v>
      </c>
      <c r="AH1777" t="s">
        <v>359</v>
      </c>
    </row>
    <row r="1778" spans="1:34" ht="15.75">
      <c r="A1778" s="29">
        <f t="shared" si="27"/>
        <v>12560</v>
      </c>
      <c r="B1778" s="2">
        <v>667</v>
      </c>
      <c r="C1778" s="2">
        <v>9</v>
      </c>
      <c r="D1778" s="2">
        <v>1817</v>
      </c>
      <c r="E1778">
        <v>7195</v>
      </c>
      <c r="G1778" s="1"/>
      <c r="H1778" s="1" t="s">
        <v>1540</v>
      </c>
      <c r="I1778" s="2">
        <v>12560</v>
      </c>
      <c r="J1778" s="2">
        <v>0</v>
      </c>
      <c r="K1778" s="2" t="s">
        <v>868</v>
      </c>
      <c r="L1778" s="43" t="s">
        <v>5928</v>
      </c>
      <c r="P1778" s="41">
        <v>21</v>
      </c>
      <c r="Q1778" s="41">
        <v>10</v>
      </c>
      <c r="R1778" s="41">
        <v>83</v>
      </c>
      <c r="S1778" t="s">
        <v>1547</v>
      </c>
      <c r="AH1778" t="s">
        <v>359</v>
      </c>
    </row>
    <row r="1779" spans="1:34" ht="15.75">
      <c r="A1779" s="29">
        <f t="shared" si="27"/>
        <v>8199</v>
      </c>
      <c r="B1779" s="2">
        <v>668</v>
      </c>
      <c r="C1779" s="2">
        <v>9</v>
      </c>
      <c r="D1779" s="2">
        <v>1817</v>
      </c>
      <c r="E1779">
        <v>7206</v>
      </c>
      <c r="G1779" s="1"/>
      <c r="H1779" s="1" t="s">
        <v>1541</v>
      </c>
      <c r="I1779" s="2">
        <v>8199</v>
      </c>
      <c r="J1779" s="2">
        <v>0</v>
      </c>
      <c r="K1779" s="2" t="s">
        <v>868</v>
      </c>
      <c r="L1779" s="43" t="s">
        <v>4197</v>
      </c>
      <c r="P1779" s="41">
        <v>16</v>
      </c>
      <c r="Q1779" s="41">
        <v>12</v>
      </c>
      <c r="R1779" s="41">
        <v>62</v>
      </c>
      <c r="S1779" t="s">
        <v>3329</v>
      </c>
      <c r="AH1779" t="s">
        <v>359</v>
      </c>
    </row>
    <row r="1780" spans="1:34" ht="15.75">
      <c r="A1780" s="29">
        <f t="shared" si="27"/>
        <v>29848</v>
      </c>
      <c r="B1780" s="8">
        <v>668</v>
      </c>
      <c r="C1780" s="2">
        <v>9</v>
      </c>
      <c r="D1780" s="2">
        <v>1817</v>
      </c>
      <c r="E1780">
        <v>7207</v>
      </c>
      <c r="F1780" s="9"/>
      <c r="G1780" s="7"/>
      <c r="H1780" s="7" t="s">
        <v>1540</v>
      </c>
      <c r="I1780" s="8">
        <f>1500+28348</f>
        <v>29848</v>
      </c>
      <c r="J1780" s="8">
        <v>0</v>
      </c>
      <c r="K1780" s="2" t="s">
        <v>870</v>
      </c>
      <c r="L1780" s="43" t="s">
        <v>834</v>
      </c>
      <c r="M1780" s="43" t="s">
        <v>761</v>
      </c>
      <c r="N1780" s="43" t="s">
        <v>851</v>
      </c>
      <c r="O1780" s="43" t="s">
        <v>1364</v>
      </c>
      <c r="P1780" s="43">
        <v>15</v>
      </c>
      <c r="Q1780" s="43">
        <v>10</v>
      </c>
      <c r="R1780" s="43">
        <v>78</v>
      </c>
      <c r="S1780" s="9" t="s">
        <v>835</v>
      </c>
      <c r="T1780" s="9" t="s">
        <v>836</v>
      </c>
      <c r="U1780" s="9"/>
      <c r="V1780" s="9" t="s">
        <v>1784</v>
      </c>
      <c r="W1780" s="9"/>
      <c r="AH1780" t="s">
        <v>359</v>
      </c>
    </row>
    <row r="1781" spans="1:34" ht="15.75">
      <c r="A1781" s="29">
        <f t="shared" si="27"/>
        <v>16326</v>
      </c>
      <c r="B1781" s="8">
        <v>668</v>
      </c>
      <c r="C1781" s="2">
        <v>9</v>
      </c>
      <c r="D1781" s="2">
        <v>1817</v>
      </c>
      <c r="E1781">
        <v>7208</v>
      </c>
      <c r="F1781" s="9"/>
      <c r="G1781" s="7"/>
      <c r="H1781" s="7" t="s">
        <v>1540</v>
      </c>
      <c r="I1781" s="8">
        <v>16326</v>
      </c>
      <c r="J1781" s="8">
        <v>0</v>
      </c>
      <c r="K1781" s="2" t="s">
        <v>870</v>
      </c>
      <c r="L1781" s="43" t="s">
        <v>1377</v>
      </c>
      <c r="P1781" s="41">
        <v>12</v>
      </c>
      <c r="Q1781" s="41">
        <v>10</v>
      </c>
      <c r="R1781" s="41">
        <v>38</v>
      </c>
      <c r="S1781" t="s">
        <v>3321</v>
      </c>
      <c r="AH1781" t="s">
        <v>359</v>
      </c>
    </row>
    <row r="1782" spans="1:34" ht="15.75">
      <c r="A1782" s="29">
        <f t="shared" si="27"/>
        <v>211</v>
      </c>
      <c r="B1782" s="8">
        <v>668</v>
      </c>
      <c r="C1782" s="2">
        <v>9</v>
      </c>
      <c r="D1782" s="2">
        <v>1817</v>
      </c>
      <c r="E1782">
        <v>7209</v>
      </c>
      <c r="F1782" s="9"/>
      <c r="G1782" s="7"/>
      <c r="H1782" s="7" t="s">
        <v>1541</v>
      </c>
      <c r="I1782" s="8">
        <v>211</v>
      </c>
      <c r="J1782" s="8">
        <v>0</v>
      </c>
      <c r="K1782" s="2" t="s">
        <v>870</v>
      </c>
      <c r="L1782" s="43" t="s">
        <v>2302</v>
      </c>
      <c r="P1782" s="41">
        <v>19</v>
      </c>
      <c r="Q1782" s="41">
        <v>12</v>
      </c>
      <c r="R1782" s="41">
        <v>41</v>
      </c>
      <c r="S1782" t="s">
        <v>3321</v>
      </c>
      <c r="AH1782" t="s">
        <v>359</v>
      </c>
    </row>
    <row r="1783" spans="1:34" ht="15.75">
      <c r="A1783" s="29">
        <f t="shared" si="27"/>
        <v>9541</v>
      </c>
      <c r="B1783" s="8">
        <v>669</v>
      </c>
      <c r="C1783" s="2">
        <v>9</v>
      </c>
      <c r="D1783" s="2">
        <v>1817</v>
      </c>
      <c r="E1783">
        <v>7237</v>
      </c>
      <c r="F1783" s="9"/>
      <c r="G1783" s="7"/>
      <c r="H1783" s="7" t="s">
        <v>1540</v>
      </c>
      <c r="I1783" s="8">
        <v>1781</v>
      </c>
      <c r="J1783" s="8">
        <v>388</v>
      </c>
      <c r="K1783" s="8" t="s">
        <v>870</v>
      </c>
      <c r="L1783" s="43" t="s">
        <v>2313</v>
      </c>
      <c r="P1783" s="41">
        <v>17</v>
      </c>
      <c r="Q1783" s="41">
        <v>11</v>
      </c>
      <c r="R1783" s="41">
        <v>18</v>
      </c>
      <c r="S1783" t="s">
        <v>3343</v>
      </c>
      <c r="X1783">
        <v>1</v>
      </c>
      <c r="Y1783" t="s">
        <v>837</v>
      </c>
      <c r="AH1783" t="s">
        <v>359</v>
      </c>
    </row>
    <row r="1784" spans="1:34" ht="15.75">
      <c r="A1784" s="29">
        <f t="shared" si="27"/>
        <v>1994</v>
      </c>
      <c r="B1784" s="8">
        <v>669</v>
      </c>
      <c r="C1784" s="2">
        <v>9</v>
      </c>
      <c r="D1784" s="2">
        <v>1817</v>
      </c>
      <c r="E1784">
        <v>7238</v>
      </c>
      <c r="G1784" s="1"/>
      <c r="H1784" s="1" t="s">
        <v>1541</v>
      </c>
      <c r="I1784" s="2">
        <v>1994</v>
      </c>
      <c r="J1784" s="2">
        <v>0</v>
      </c>
      <c r="K1784" s="8" t="s">
        <v>870</v>
      </c>
      <c r="L1784" s="43" t="s">
        <v>838</v>
      </c>
      <c r="P1784" s="41">
        <v>23</v>
      </c>
      <c r="Q1784" s="41">
        <v>4</v>
      </c>
      <c r="R1784" s="41">
        <v>66</v>
      </c>
      <c r="S1784" t="s">
        <v>3321</v>
      </c>
      <c r="AH1784" t="s">
        <v>359</v>
      </c>
    </row>
    <row r="1785" spans="1:34" ht="15.75">
      <c r="A1785" s="29">
        <f t="shared" si="27"/>
        <v>585</v>
      </c>
      <c r="B1785" s="8">
        <v>669</v>
      </c>
      <c r="C1785" s="2">
        <v>9</v>
      </c>
      <c r="D1785" s="2">
        <v>1817</v>
      </c>
      <c r="E1785">
        <v>7239</v>
      </c>
      <c r="G1785" s="1"/>
      <c r="H1785" s="1" t="s">
        <v>1541</v>
      </c>
      <c r="I1785" s="2">
        <v>585</v>
      </c>
      <c r="J1785" s="2">
        <v>0</v>
      </c>
      <c r="K1785" s="8" t="s">
        <v>870</v>
      </c>
      <c r="L1785" s="43" t="s">
        <v>838</v>
      </c>
      <c r="P1785" s="41">
        <v>19</v>
      </c>
      <c r="Q1785" s="41">
        <v>10</v>
      </c>
      <c r="R1785" s="41">
        <v>37</v>
      </c>
      <c r="S1785" t="s">
        <v>3321</v>
      </c>
      <c r="AH1785" t="s">
        <v>359</v>
      </c>
    </row>
    <row r="1786" spans="1:34" ht="15.75">
      <c r="A1786" s="29">
        <f t="shared" si="27"/>
        <v>1765</v>
      </c>
      <c r="B1786" s="8">
        <v>669</v>
      </c>
      <c r="C1786" s="2">
        <v>9</v>
      </c>
      <c r="D1786" s="2">
        <v>1817</v>
      </c>
      <c r="E1786">
        <v>7240</v>
      </c>
      <c r="G1786" s="1"/>
      <c r="H1786" s="1" t="s">
        <v>1541</v>
      </c>
      <c r="I1786" s="2">
        <v>1765</v>
      </c>
      <c r="J1786" s="2">
        <v>0</v>
      </c>
      <c r="K1786" s="8" t="s">
        <v>870</v>
      </c>
      <c r="L1786" s="43" t="s">
        <v>2318</v>
      </c>
      <c r="P1786" s="41">
        <v>19</v>
      </c>
      <c r="Q1786" s="41">
        <v>2</v>
      </c>
      <c r="R1786" s="41">
        <v>45</v>
      </c>
      <c r="S1786" t="s">
        <v>1547</v>
      </c>
      <c r="AH1786" t="s">
        <v>359</v>
      </c>
    </row>
    <row r="1787" spans="1:34" ht="15.75">
      <c r="A1787" s="29">
        <f t="shared" si="27"/>
        <v>75112</v>
      </c>
      <c r="B1787" s="8">
        <v>669</v>
      </c>
      <c r="C1787" s="2">
        <v>9</v>
      </c>
      <c r="D1787" s="2">
        <v>1817</v>
      </c>
      <c r="E1787">
        <v>7241</v>
      </c>
      <c r="F1787" s="9"/>
      <c r="G1787" s="7"/>
      <c r="H1787" s="7" t="s">
        <v>1540</v>
      </c>
      <c r="I1787" s="8">
        <v>61862</v>
      </c>
      <c r="J1787" s="8">
        <v>1325</v>
      </c>
      <c r="K1787" s="8" t="s">
        <v>870</v>
      </c>
      <c r="L1787" s="43" t="s">
        <v>839</v>
      </c>
      <c r="M1787" s="41" t="s">
        <v>841</v>
      </c>
      <c r="O1787" s="41" t="s">
        <v>842</v>
      </c>
      <c r="P1787" s="41">
        <v>11</v>
      </c>
      <c r="Q1787" s="41">
        <v>10</v>
      </c>
      <c r="R1787" s="41">
        <v>67</v>
      </c>
      <c r="S1787" t="s">
        <v>840</v>
      </c>
      <c r="T1787" t="s">
        <v>843</v>
      </c>
      <c r="V1787" t="s">
        <v>844</v>
      </c>
      <c r="X1787">
        <v>0.5</v>
      </c>
      <c r="Y1787" t="s">
        <v>842</v>
      </c>
      <c r="AH1787" t="s">
        <v>359</v>
      </c>
    </row>
    <row r="1788" spans="1:34" ht="15.75">
      <c r="A1788" s="29">
        <f t="shared" si="27"/>
        <v>24529</v>
      </c>
      <c r="B1788" s="8">
        <v>669</v>
      </c>
      <c r="C1788" s="2">
        <v>9</v>
      </c>
      <c r="D1788" s="2">
        <v>1817</v>
      </c>
      <c r="E1788">
        <v>7242</v>
      </c>
      <c r="F1788" s="9"/>
      <c r="G1788" s="7"/>
      <c r="H1788" s="7" t="s">
        <v>1540</v>
      </c>
      <c r="I1788" s="8">
        <v>24529</v>
      </c>
      <c r="J1788" s="8">
        <v>0</v>
      </c>
      <c r="K1788" s="8" t="s">
        <v>870</v>
      </c>
      <c r="L1788" s="43" t="s">
        <v>845</v>
      </c>
      <c r="M1788" s="43" t="s">
        <v>2896</v>
      </c>
      <c r="N1788" s="43" t="s">
        <v>5094</v>
      </c>
      <c r="O1788" s="43" t="s">
        <v>5095</v>
      </c>
      <c r="P1788" s="43">
        <v>14</v>
      </c>
      <c r="Q1788" s="43">
        <v>11</v>
      </c>
      <c r="R1788" s="43">
        <v>27</v>
      </c>
      <c r="S1788" t="s">
        <v>5093</v>
      </c>
      <c r="T1788" t="s">
        <v>5096</v>
      </c>
      <c r="V1788" t="s">
        <v>1183</v>
      </c>
      <c r="AH1788" t="s">
        <v>359</v>
      </c>
    </row>
    <row r="1789" spans="1:34" ht="15.75">
      <c r="A1789" s="29">
        <f t="shared" si="27"/>
        <v>104</v>
      </c>
      <c r="B1789" s="8">
        <v>669</v>
      </c>
      <c r="C1789" s="2">
        <v>9</v>
      </c>
      <c r="D1789" s="2">
        <v>1817</v>
      </c>
      <c r="E1789">
        <v>7243</v>
      </c>
      <c r="G1789" s="1"/>
      <c r="H1789" s="1" t="s">
        <v>1540</v>
      </c>
      <c r="I1789" s="2">
        <v>104</v>
      </c>
      <c r="J1789" s="2">
        <v>0</v>
      </c>
      <c r="K1789" s="8" t="s">
        <v>870</v>
      </c>
      <c r="L1789" s="43" t="s">
        <v>2305</v>
      </c>
      <c r="P1789" s="43">
        <v>11</v>
      </c>
      <c r="Q1789" s="43">
        <v>2</v>
      </c>
      <c r="R1789" s="43">
        <v>34</v>
      </c>
      <c r="S1789" t="s">
        <v>3343</v>
      </c>
      <c r="AH1789" t="s">
        <v>359</v>
      </c>
    </row>
    <row r="1790" spans="1:34" ht="15.75">
      <c r="A1790" s="29">
        <f t="shared" si="27"/>
        <v>600</v>
      </c>
      <c r="B1790" s="8">
        <v>669</v>
      </c>
      <c r="C1790" s="2">
        <v>9</v>
      </c>
      <c r="D1790" s="2">
        <v>1817</v>
      </c>
      <c r="E1790">
        <v>7244</v>
      </c>
      <c r="G1790" s="1"/>
      <c r="H1790" s="1" t="s">
        <v>1540</v>
      </c>
      <c r="I1790" s="2">
        <v>600</v>
      </c>
      <c r="J1790" s="2">
        <v>0</v>
      </c>
      <c r="K1790" s="8" t="s">
        <v>870</v>
      </c>
      <c r="L1790" s="43" t="s">
        <v>2305</v>
      </c>
      <c r="P1790" s="43">
        <v>29</v>
      </c>
      <c r="Q1790" s="43">
        <v>5</v>
      </c>
      <c r="R1790" s="43">
        <v>43</v>
      </c>
      <c r="S1790" t="s">
        <v>3321</v>
      </c>
      <c r="AH1790" t="s">
        <v>359</v>
      </c>
    </row>
    <row r="1791" spans="1:34" ht="15.75">
      <c r="A1791" s="29">
        <f t="shared" si="27"/>
        <v>9015</v>
      </c>
      <c r="B1791" s="8">
        <v>669</v>
      </c>
      <c r="C1791" s="2">
        <v>9</v>
      </c>
      <c r="D1791" s="2">
        <v>1817</v>
      </c>
      <c r="E1791">
        <v>7245</v>
      </c>
      <c r="G1791" s="1"/>
      <c r="H1791" s="1" t="s">
        <v>1541</v>
      </c>
      <c r="I1791" s="2">
        <v>9015</v>
      </c>
      <c r="J1791" s="2">
        <v>0</v>
      </c>
      <c r="K1791" s="8" t="s">
        <v>870</v>
      </c>
      <c r="L1791" s="43" t="s">
        <v>2305</v>
      </c>
      <c r="P1791" s="43">
        <v>2</v>
      </c>
      <c r="Q1791" s="43">
        <v>9</v>
      </c>
      <c r="R1791" s="41" t="s">
        <v>1547</v>
      </c>
      <c r="S1791" t="s">
        <v>3321</v>
      </c>
      <c r="X1791">
        <v>1</v>
      </c>
      <c r="Y1791" t="s">
        <v>5097</v>
      </c>
      <c r="AH1791" t="s">
        <v>359</v>
      </c>
    </row>
    <row r="1792" spans="1:34" ht="15.75">
      <c r="A1792" s="29">
        <f t="shared" si="27"/>
        <v>400</v>
      </c>
      <c r="B1792" s="8">
        <v>669</v>
      </c>
      <c r="C1792" s="2">
        <v>9</v>
      </c>
      <c r="D1792" s="2">
        <v>1817</v>
      </c>
      <c r="E1792">
        <v>7246</v>
      </c>
      <c r="G1792" s="1"/>
      <c r="H1792" s="1" t="s">
        <v>1541</v>
      </c>
      <c r="I1792" s="2">
        <v>400</v>
      </c>
      <c r="J1792" s="2">
        <v>0</v>
      </c>
      <c r="K1792" s="8" t="s">
        <v>870</v>
      </c>
      <c r="L1792" s="43" t="s">
        <v>2305</v>
      </c>
      <c r="P1792" s="43">
        <v>20</v>
      </c>
      <c r="Q1792" s="43">
        <v>10</v>
      </c>
      <c r="R1792" s="41">
        <v>59</v>
      </c>
      <c r="S1792" t="s">
        <v>3321</v>
      </c>
      <c r="AH1792" t="s">
        <v>359</v>
      </c>
    </row>
    <row r="1793" spans="1:34" ht="15.75">
      <c r="A1793" s="29">
        <f t="shared" si="27"/>
        <v>3140</v>
      </c>
      <c r="B1793" s="8">
        <v>669</v>
      </c>
      <c r="C1793" s="2">
        <v>9</v>
      </c>
      <c r="D1793" s="2">
        <v>1817</v>
      </c>
      <c r="E1793">
        <v>7247</v>
      </c>
      <c r="G1793" s="1"/>
      <c r="H1793" s="1" t="s">
        <v>1541</v>
      </c>
      <c r="I1793" s="2">
        <f>400+2690+50</f>
        <v>3140</v>
      </c>
      <c r="J1793" s="2">
        <v>0</v>
      </c>
      <c r="K1793" s="8" t="s">
        <v>870</v>
      </c>
      <c r="L1793" s="43" t="s">
        <v>2308</v>
      </c>
      <c r="P1793" s="43">
        <v>29</v>
      </c>
      <c r="Q1793" s="43">
        <v>3</v>
      </c>
      <c r="R1793" s="41">
        <v>72</v>
      </c>
      <c r="S1793" t="s">
        <v>1547</v>
      </c>
      <c r="T1793" t="s">
        <v>5098</v>
      </c>
      <c r="AH1793" t="s">
        <v>359</v>
      </c>
    </row>
    <row r="1794" spans="1:34" ht="15.75">
      <c r="A1794" s="29">
        <f aca="true" t="shared" si="28" ref="A1794:A1857">I1794+J1794*20*X1794</f>
        <v>7616</v>
      </c>
      <c r="B1794" s="8">
        <v>669</v>
      </c>
      <c r="C1794" s="2">
        <v>9</v>
      </c>
      <c r="D1794" s="2">
        <v>1817</v>
      </c>
      <c r="E1794">
        <v>7248</v>
      </c>
      <c r="G1794" s="1"/>
      <c r="H1794" s="1" t="s">
        <v>1540</v>
      </c>
      <c r="I1794" s="2">
        <v>7616</v>
      </c>
      <c r="J1794" s="2">
        <v>0</v>
      </c>
      <c r="K1794" s="8" t="s">
        <v>870</v>
      </c>
      <c r="L1794" s="43" t="s">
        <v>5099</v>
      </c>
      <c r="P1794" s="43">
        <v>12</v>
      </c>
      <c r="Q1794" s="43">
        <v>11</v>
      </c>
      <c r="R1794" s="41">
        <v>29</v>
      </c>
      <c r="S1794" t="s">
        <v>3343</v>
      </c>
      <c r="AH1794" t="s">
        <v>359</v>
      </c>
    </row>
    <row r="1795" spans="1:34" ht="15.75">
      <c r="A1795" s="29">
        <f t="shared" si="28"/>
        <v>12849</v>
      </c>
      <c r="B1795" s="8">
        <v>669</v>
      </c>
      <c r="C1795" s="2">
        <v>9</v>
      </c>
      <c r="D1795" s="2">
        <v>1817</v>
      </c>
      <c r="E1795">
        <v>7249</v>
      </c>
      <c r="G1795" s="1"/>
      <c r="H1795" s="1" t="s">
        <v>1541</v>
      </c>
      <c r="I1795" s="2">
        <v>12849</v>
      </c>
      <c r="J1795" s="2">
        <v>0</v>
      </c>
      <c r="K1795" s="8" t="s">
        <v>870</v>
      </c>
      <c r="L1795" s="43" t="s">
        <v>5100</v>
      </c>
      <c r="P1795" s="43">
        <v>21</v>
      </c>
      <c r="Q1795" s="43">
        <v>4</v>
      </c>
      <c r="R1795" s="41">
        <v>71</v>
      </c>
      <c r="S1795" t="s">
        <v>3321</v>
      </c>
      <c r="AH1795" t="s">
        <v>359</v>
      </c>
    </row>
    <row r="1796" spans="1:34" ht="15.75">
      <c r="A1796" s="29">
        <f t="shared" si="28"/>
        <v>1572</v>
      </c>
      <c r="B1796" s="8">
        <v>670</v>
      </c>
      <c r="C1796" s="2">
        <v>9</v>
      </c>
      <c r="D1796" s="2">
        <v>1817</v>
      </c>
      <c r="E1796">
        <v>7272</v>
      </c>
      <c r="F1796" s="9"/>
      <c r="G1796" s="7"/>
      <c r="H1796" s="7" t="s">
        <v>1540</v>
      </c>
      <c r="I1796" s="8">
        <v>1572</v>
      </c>
      <c r="J1796" s="8">
        <v>0</v>
      </c>
      <c r="K1796" s="8" t="s">
        <v>870</v>
      </c>
      <c r="L1796" s="43" t="s">
        <v>2310</v>
      </c>
      <c r="P1796" s="41">
        <v>1</v>
      </c>
      <c r="Q1796" s="41">
        <v>4</v>
      </c>
      <c r="R1796" s="41" t="s">
        <v>1547</v>
      </c>
      <c r="S1796" t="s">
        <v>3321</v>
      </c>
      <c r="AH1796" t="s">
        <v>359</v>
      </c>
    </row>
    <row r="1797" spans="1:34" ht="15.75">
      <c r="A1797" s="29">
        <f t="shared" si="28"/>
        <v>109349</v>
      </c>
      <c r="B1797" s="8">
        <v>670</v>
      </c>
      <c r="C1797" s="2">
        <v>9</v>
      </c>
      <c r="D1797" s="2">
        <v>1817</v>
      </c>
      <c r="E1797">
        <v>7273</v>
      </c>
      <c r="F1797" s="9"/>
      <c r="G1797" s="7"/>
      <c r="H1797" s="7" t="s">
        <v>1540</v>
      </c>
      <c r="I1797" s="8">
        <v>84349</v>
      </c>
      <c r="J1797" s="8">
        <v>1250</v>
      </c>
      <c r="K1797" s="8" t="s">
        <v>870</v>
      </c>
      <c r="L1797" s="43" t="s">
        <v>5111</v>
      </c>
      <c r="M1797" s="41" t="s">
        <v>5113</v>
      </c>
      <c r="N1797" s="41" t="s">
        <v>5114</v>
      </c>
      <c r="O1797" s="41" t="s">
        <v>5115</v>
      </c>
      <c r="P1797" s="41">
        <v>13</v>
      </c>
      <c r="Q1797" s="41">
        <v>7</v>
      </c>
      <c r="R1797" s="41">
        <v>50</v>
      </c>
      <c r="S1797" t="s">
        <v>5112</v>
      </c>
      <c r="T1797" t="s">
        <v>5116</v>
      </c>
      <c r="V1797" t="s">
        <v>3553</v>
      </c>
      <c r="X1797">
        <v>1</v>
      </c>
      <c r="Y1797" t="s">
        <v>5115</v>
      </c>
      <c r="AH1797" t="s">
        <v>359</v>
      </c>
    </row>
    <row r="1798" spans="1:34" ht="15.75">
      <c r="A1798" s="29">
        <f t="shared" si="28"/>
        <v>20</v>
      </c>
      <c r="B1798" s="8">
        <v>670</v>
      </c>
      <c r="C1798" s="2">
        <v>9</v>
      </c>
      <c r="D1798" s="2">
        <v>1817</v>
      </c>
      <c r="E1798">
        <v>7274</v>
      </c>
      <c r="F1798" s="9"/>
      <c r="G1798" s="7"/>
      <c r="H1798" s="7" t="s">
        <v>1541</v>
      </c>
      <c r="I1798" s="8">
        <v>20</v>
      </c>
      <c r="J1798" s="8">
        <v>0</v>
      </c>
      <c r="K1798" s="8" t="s">
        <v>870</v>
      </c>
      <c r="L1798" s="43" t="s">
        <v>2311</v>
      </c>
      <c r="P1798" s="41">
        <v>3</v>
      </c>
      <c r="Q1798" s="41">
        <v>12</v>
      </c>
      <c r="R1798" s="41">
        <v>71</v>
      </c>
      <c r="S1798" t="s">
        <v>3329</v>
      </c>
      <c r="AH1798" t="s">
        <v>359</v>
      </c>
    </row>
    <row r="1799" spans="1:34" ht="15.75">
      <c r="A1799" s="29">
        <f t="shared" si="28"/>
        <v>6552</v>
      </c>
      <c r="B1799" s="8">
        <v>670</v>
      </c>
      <c r="C1799" s="2">
        <v>9</v>
      </c>
      <c r="D1799" s="2">
        <v>1817</v>
      </c>
      <c r="E1799">
        <v>7275</v>
      </c>
      <c r="F1799" s="9"/>
      <c r="G1799" s="7"/>
      <c r="H1799" s="7" t="s">
        <v>1541</v>
      </c>
      <c r="I1799" s="8">
        <v>6552</v>
      </c>
      <c r="J1799" s="8">
        <v>0</v>
      </c>
      <c r="K1799" s="8" t="s">
        <v>870</v>
      </c>
      <c r="L1799" s="43" t="s">
        <v>2312</v>
      </c>
      <c r="P1799" s="41">
        <v>23</v>
      </c>
      <c r="Q1799" s="41">
        <v>12</v>
      </c>
      <c r="R1799" s="41">
        <v>46</v>
      </c>
      <c r="S1799" t="s">
        <v>3329</v>
      </c>
      <c r="AH1799" t="s">
        <v>359</v>
      </c>
    </row>
    <row r="1800" spans="1:34" ht="15.75">
      <c r="A1800" s="29">
        <f t="shared" si="28"/>
        <v>189</v>
      </c>
      <c r="B1800" s="8">
        <v>670</v>
      </c>
      <c r="C1800" s="2">
        <v>9</v>
      </c>
      <c r="D1800" s="2">
        <v>1817</v>
      </c>
      <c r="E1800">
        <v>7276</v>
      </c>
      <c r="F1800" s="9"/>
      <c r="G1800" s="7"/>
      <c r="H1800" s="7" t="s">
        <v>1541</v>
      </c>
      <c r="I1800" s="8">
        <v>189</v>
      </c>
      <c r="J1800" s="8">
        <v>0</v>
      </c>
      <c r="K1800" s="8" t="s">
        <v>870</v>
      </c>
      <c r="L1800" s="43" t="s">
        <v>2321</v>
      </c>
      <c r="P1800" s="41">
        <v>21</v>
      </c>
      <c r="Q1800" s="41">
        <v>11</v>
      </c>
      <c r="R1800" s="41">
        <v>72</v>
      </c>
      <c r="S1800" t="s">
        <v>3329</v>
      </c>
      <c r="AH1800" t="s">
        <v>359</v>
      </c>
    </row>
    <row r="1801" spans="1:34" ht="15.75">
      <c r="A1801" s="29">
        <f t="shared" si="28"/>
        <v>61456</v>
      </c>
      <c r="B1801" s="8">
        <v>670</v>
      </c>
      <c r="C1801" s="2">
        <v>9</v>
      </c>
      <c r="D1801" s="2">
        <v>1817</v>
      </c>
      <c r="E1801">
        <v>7277</v>
      </c>
      <c r="F1801" s="9"/>
      <c r="G1801" s="7"/>
      <c r="H1801" s="7" t="s">
        <v>1541</v>
      </c>
      <c r="I1801" s="8">
        <v>1456</v>
      </c>
      <c r="J1801" s="8">
        <f>900+1300+400+400</f>
        <v>3000</v>
      </c>
      <c r="K1801" s="8" t="s">
        <v>870</v>
      </c>
      <c r="L1801" s="43" t="s">
        <v>5117</v>
      </c>
      <c r="M1801" s="41" t="s">
        <v>5119</v>
      </c>
      <c r="N1801" s="41" t="s">
        <v>855</v>
      </c>
      <c r="O1801" s="41" t="s">
        <v>5120</v>
      </c>
      <c r="P1801" s="41">
        <v>9</v>
      </c>
      <c r="Q1801" s="41">
        <v>5</v>
      </c>
      <c r="R1801" s="41">
        <v>60</v>
      </c>
      <c r="S1801" t="s">
        <v>5118</v>
      </c>
      <c r="T1801" t="s">
        <v>5121</v>
      </c>
      <c r="V1801" t="s">
        <v>2973</v>
      </c>
      <c r="X1801">
        <v>1</v>
      </c>
      <c r="Y1801" t="s">
        <v>5122</v>
      </c>
      <c r="Z1801" t="s">
        <v>5123</v>
      </c>
      <c r="AH1801" t="s">
        <v>359</v>
      </c>
    </row>
    <row r="1802" spans="1:34" ht="15.75">
      <c r="A1802" s="29">
        <f t="shared" si="28"/>
        <v>14638</v>
      </c>
      <c r="B1802" s="2">
        <v>670</v>
      </c>
      <c r="C1802" s="2">
        <v>9</v>
      </c>
      <c r="D1802" s="2">
        <v>1817</v>
      </c>
      <c r="E1802">
        <v>7278</v>
      </c>
      <c r="G1802" s="1"/>
      <c r="H1802" s="1" t="s">
        <v>1540</v>
      </c>
      <c r="I1802" s="2">
        <f>7319+7319</f>
        <v>14638</v>
      </c>
      <c r="J1802" s="2">
        <v>0</v>
      </c>
      <c r="K1802" s="8" t="s">
        <v>870</v>
      </c>
      <c r="L1802" s="43" t="s">
        <v>1490</v>
      </c>
      <c r="P1802" s="41">
        <v>11</v>
      </c>
      <c r="Q1802" s="41">
        <v>4</v>
      </c>
      <c r="R1802" s="41">
        <v>27</v>
      </c>
      <c r="S1802" t="s">
        <v>3321</v>
      </c>
      <c r="AH1802" t="s">
        <v>359</v>
      </c>
    </row>
    <row r="1803" spans="1:34" ht="15.75">
      <c r="A1803" s="29">
        <f t="shared" si="28"/>
        <v>10647</v>
      </c>
      <c r="B1803" s="2">
        <v>670</v>
      </c>
      <c r="C1803" s="2">
        <v>9</v>
      </c>
      <c r="D1803" s="2">
        <v>1817</v>
      </c>
      <c r="E1803">
        <v>7279</v>
      </c>
      <c r="G1803" s="1"/>
      <c r="H1803" s="1" t="s">
        <v>1540</v>
      </c>
      <c r="I1803" s="2">
        <v>10647</v>
      </c>
      <c r="J1803" s="2">
        <v>0</v>
      </c>
      <c r="K1803" s="8" t="s">
        <v>870</v>
      </c>
      <c r="L1803" s="43" t="s">
        <v>1490</v>
      </c>
      <c r="P1803" s="41">
        <v>18</v>
      </c>
      <c r="Q1803" s="41">
        <v>6</v>
      </c>
      <c r="R1803" s="41">
        <v>73</v>
      </c>
      <c r="S1803" t="s">
        <v>3324</v>
      </c>
      <c r="AH1803" t="s">
        <v>359</v>
      </c>
    </row>
    <row r="1804" spans="1:34" ht="15.75">
      <c r="A1804" s="29">
        <f t="shared" si="28"/>
        <v>400</v>
      </c>
      <c r="B1804" s="8">
        <v>670</v>
      </c>
      <c r="C1804" s="2">
        <v>9</v>
      </c>
      <c r="D1804" s="2">
        <v>1817</v>
      </c>
      <c r="E1804">
        <v>7280</v>
      </c>
      <c r="F1804" s="9"/>
      <c r="G1804" s="7"/>
      <c r="H1804" s="7" t="s">
        <v>1541</v>
      </c>
      <c r="I1804" s="8">
        <v>400</v>
      </c>
      <c r="J1804" s="8">
        <v>0</v>
      </c>
      <c r="K1804" s="8" t="s">
        <v>870</v>
      </c>
      <c r="L1804" s="43" t="s">
        <v>2786</v>
      </c>
      <c r="P1804" s="41">
        <v>10</v>
      </c>
      <c r="Q1804" s="41">
        <v>10</v>
      </c>
      <c r="R1804" s="41">
        <v>59</v>
      </c>
      <c r="S1804" t="s">
        <v>3321</v>
      </c>
      <c r="AH1804" t="s">
        <v>359</v>
      </c>
    </row>
    <row r="1805" spans="1:34" ht="15.75">
      <c r="A1805" s="29">
        <f t="shared" si="28"/>
        <v>594</v>
      </c>
      <c r="B1805" s="8">
        <v>670</v>
      </c>
      <c r="C1805" s="2">
        <v>9</v>
      </c>
      <c r="D1805" s="2">
        <v>1817</v>
      </c>
      <c r="E1805">
        <v>7282</v>
      </c>
      <c r="F1805" s="9"/>
      <c r="G1805" s="7"/>
      <c r="H1805" s="7" t="s">
        <v>1540</v>
      </c>
      <c r="I1805" s="8">
        <v>594</v>
      </c>
      <c r="J1805" s="8">
        <v>0</v>
      </c>
      <c r="K1805" s="8" t="s">
        <v>870</v>
      </c>
      <c r="L1805" s="43" t="s">
        <v>4191</v>
      </c>
      <c r="P1805" s="41">
        <v>10</v>
      </c>
      <c r="Q1805" s="41">
        <v>3</v>
      </c>
      <c r="R1805" s="41">
        <v>42</v>
      </c>
      <c r="S1805" t="s">
        <v>3321</v>
      </c>
      <c r="AH1805" t="s">
        <v>359</v>
      </c>
    </row>
    <row r="1806" spans="1:34" ht="15.75">
      <c r="A1806" s="29">
        <f t="shared" si="28"/>
        <v>12713</v>
      </c>
      <c r="B1806" s="8">
        <v>670</v>
      </c>
      <c r="C1806" s="2">
        <v>9</v>
      </c>
      <c r="D1806" s="2">
        <v>1817</v>
      </c>
      <c r="E1806">
        <v>7284</v>
      </c>
      <c r="F1806" s="9"/>
      <c r="G1806" s="7"/>
      <c r="H1806" s="7" t="s">
        <v>1541</v>
      </c>
      <c r="I1806" s="8">
        <f>4327+8386</f>
        <v>12713</v>
      </c>
      <c r="J1806" s="8">
        <v>0</v>
      </c>
      <c r="K1806" s="8" t="s">
        <v>870</v>
      </c>
      <c r="L1806" s="43" t="s">
        <v>4191</v>
      </c>
      <c r="P1806" s="41">
        <v>1</v>
      </c>
      <c r="Q1806" s="41">
        <v>2</v>
      </c>
      <c r="R1806" s="41">
        <v>61</v>
      </c>
      <c r="S1806" t="s">
        <v>3321</v>
      </c>
      <c r="AH1806" t="s">
        <v>359</v>
      </c>
    </row>
    <row r="1807" spans="1:34" ht="15.75">
      <c r="A1807" s="29">
        <f t="shared" si="28"/>
        <v>23810</v>
      </c>
      <c r="B1807" s="8">
        <v>670</v>
      </c>
      <c r="C1807" s="2">
        <v>9</v>
      </c>
      <c r="D1807" s="2">
        <v>1817</v>
      </c>
      <c r="E1807">
        <v>7285</v>
      </c>
      <c r="F1807" s="9"/>
      <c r="G1807" s="7"/>
      <c r="H1807" s="7" t="s">
        <v>1541</v>
      </c>
      <c r="I1807" s="8">
        <v>23810</v>
      </c>
      <c r="J1807" s="8">
        <v>0</v>
      </c>
      <c r="K1807" s="8" t="s">
        <v>870</v>
      </c>
      <c r="L1807" s="43" t="s">
        <v>1204</v>
      </c>
      <c r="M1807" s="43" t="s">
        <v>5132</v>
      </c>
      <c r="N1807" s="43"/>
      <c r="O1807" s="41" t="s">
        <v>5133</v>
      </c>
      <c r="P1807" s="41">
        <v>24</v>
      </c>
      <c r="Q1807" s="41">
        <v>9</v>
      </c>
      <c r="R1807" s="41">
        <v>61</v>
      </c>
      <c r="S1807" t="s">
        <v>5131</v>
      </c>
      <c r="T1807" t="s">
        <v>4646</v>
      </c>
      <c r="V1807" t="s">
        <v>5134</v>
      </c>
      <c r="AH1807" t="s">
        <v>359</v>
      </c>
    </row>
    <row r="1808" spans="1:34" ht="15.75">
      <c r="A1808" s="29">
        <f t="shared" si="28"/>
        <v>671</v>
      </c>
      <c r="B1808" s="2">
        <v>670</v>
      </c>
      <c r="C1808" s="2">
        <v>9</v>
      </c>
      <c r="D1808" s="2">
        <v>1817</v>
      </c>
      <c r="E1808">
        <v>7286</v>
      </c>
      <c r="G1808" s="1"/>
      <c r="H1808" s="1" t="s">
        <v>1541</v>
      </c>
      <c r="I1808" s="2">
        <v>671</v>
      </c>
      <c r="J1808" s="2">
        <v>0</v>
      </c>
      <c r="K1808" s="8" t="s">
        <v>870</v>
      </c>
      <c r="L1808" s="43" t="s">
        <v>4191</v>
      </c>
      <c r="P1808" s="41">
        <v>1</v>
      </c>
      <c r="Q1808" s="41">
        <v>11</v>
      </c>
      <c r="R1808" s="41">
        <v>48</v>
      </c>
      <c r="S1808" t="s">
        <v>3321</v>
      </c>
      <c r="AH1808" t="s">
        <v>359</v>
      </c>
    </row>
    <row r="1809" spans="1:34" ht="15.75">
      <c r="A1809" s="29">
        <f t="shared" si="28"/>
        <v>653</v>
      </c>
      <c r="B1809" s="2">
        <v>670</v>
      </c>
      <c r="C1809" s="2">
        <v>9</v>
      </c>
      <c r="D1809" s="2">
        <v>1817</v>
      </c>
      <c r="E1809">
        <v>7287</v>
      </c>
      <c r="G1809" s="1"/>
      <c r="H1809" s="1" t="s">
        <v>1540</v>
      </c>
      <c r="I1809" s="2">
        <v>653</v>
      </c>
      <c r="J1809" s="2">
        <v>0</v>
      </c>
      <c r="K1809" s="8" t="s">
        <v>870</v>
      </c>
      <c r="L1809" s="43" t="s">
        <v>4191</v>
      </c>
      <c r="P1809" s="41">
        <v>17</v>
      </c>
      <c r="Q1809" s="41">
        <v>11</v>
      </c>
      <c r="R1809" s="41">
        <v>65</v>
      </c>
      <c r="S1809" t="s">
        <v>3321</v>
      </c>
      <c r="AH1809" t="s">
        <v>359</v>
      </c>
    </row>
    <row r="1810" spans="1:34" ht="15.75">
      <c r="A1810" s="29">
        <f t="shared" si="28"/>
        <v>2148</v>
      </c>
      <c r="B1810" s="8">
        <v>670</v>
      </c>
      <c r="C1810" s="2">
        <v>9</v>
      </c>
      <c r="D1810" s="2">
        <v>1817</v>
      </c>
      <c r="E1810">
        <v>7288</v>
      </c>
      <c r="F1810" s="9"/>
      <c r="G1810" s="7"/>
      <c r="H1810" s="7" t="s">
        <v>1540</v>
      </c>
      <c r="I1810" s="8">
        <v>2148</v>
      </c>
      <c r="J1810" s="8">
        <v>0</v>
      </c>
      <c r="K1810" s="8" t="s">
        <v>870</v>
      </c>
      <c r="L1810" s="43" t="s">
        <v>4191</v>
      </c>
      <c r="P1810" s="41">
        <v>22</v>
      </c>
      <c r="Q1810" s="41">
        <v>12</v>
      </c>
      <c r="R1810" s="41">
        <v>52</v>
      </c>
      <c r="S1810" t="s">
        <v>3321</v>
      </c>
      <c r="AH1810" t="s">
        <v>359</v>
      </c>
    </row>
    <row r="1811" spans="1:34" ht="15.75">
      <c r="A1811" s="29">
        <f t="shared" si="28"/>
        <v>13560</v>
      </c>
      <c r="B1811" s="8">
        <v>670</v>
      </c>
      <c r="C1811" s="2">
        <v>9</v>
      </c>
      <c r="D1811" s="2">
        <v>1817</v>
      </c>
      <c r="E1811">
        <v>7290</v>
      </c>
      <c r="F1811" s="9"/>
      <c r="G1811" s="7"/>
      <c r="H1811" s="7" t="s">
        <v>1540</v>
      </c>
      <c r="I1811" s="8">
        <v>0</v>
      </c>
      <c r="J1811" s="8">
        <v>1356</v>
      </c>
      <c r="K1811" s="8" t="s">
        <v>870</v>
      </c>
      <c r="L1811" s="43" t="s">
        <v>5140</v>
      </c>
      <c r="O1811" s="41" t="s">
        <v>5141</v>
      </c>
      <c r="P1811" s="41">
        <v>6</v>
      </c>
      <c r="Q1811" s="41">
        <v>8</v>
      </c>
      <c r="R1811" s="41" t="s">
        <v>1547</v>
      </c>
      <c r="S1811" t="s">
        <v>3321</v>
      </c>
      <c r="X1811">
        <v>0.5</v>
      </c>
      <c r="Y1811" t="s">
        <v>5142</v>
      </c>
      <c r="AH1811" t="s">
        <v>359</v>
      </c>
    </row>
    <row r="1812" spans="1:34" ht="15.75">
      <c r="A1812" s="29">
        <f t="shared" si="28"/>
        <v>3301</v>
      </c>
      <c r="B1812" s="8">
        <v>670</v>
      </c>
      <c r="C1812" s="2">
        <v>9</v>
      </c>
      <c r="D1812" s="2">
        <v>1817</v>
      </c>
      <c r="E1812">
        <v>7291</v>
      </c>
      <c r="F1812" s="9"/>
      <c r="G1812" s="7"/>
      <c r="H1812" s="7" t="s">
        <v>1540</v>
      </c>
      <c r="I1812" s="8">
        <f>2210+1091</f>
        <v>3301</v>
      </c>
      <c r="J1812" s="8">
        <v>0</v>
      </c>
      <c r="K1812" s="8" t="s">
        <v>870</v>
      </c>
      <c r="L1812" s="43" t="s">
        <v>4207</v>
      </c>
      <c r="P1812" s="41">
        <v>30</v>
      </c>
      <c r="Q1812" s="41">
        <v>1</v>
      </c>
      <c r="R1812" s="41">
        <v>54</v>
      </c>
      <c r="S1812" t="s">
        <v>3321</v>
      </c>
      <c r="AH1812" t="s">
        <v>359</v>
      </c>
    </row>
    <row r="1813" spans="1:34" ht="15.75">
      <c r="A1813" s="29">
        <f t="shared" si="28"/>
        <v>0</v>
      </c>
      <c r="B1813" s="2">
        <v>670</v>
      </c>
      <c r="C1813" s="2">
        <v>9</v>
      </c>
      <c r="D1813" s="2">
        <v>1817</v>
      </c>
      <c r="E1813">
        <v>7292</v>
      </c>
      <c r="G1813" s="1"/>
      <c r="H1813" s="1" t="s">
        <v>1549</v>
      </c>
      <c r="I1813" s="2">
        <v>0</v>
      </c>
      <c r="J1813" s="2">
        <v>0</v>
      </c>
      <c r="K1813" s="8" t="s">
        <v>870</v>
      </c>
      <c r="L1813" s="43" t="s">
        <v>4190</v>
      </c>
      <c r="P1813" s="41">
        <v>26</v>
      </c>
      <c r="Q1813" s="41">
        <v>4</v>
      </c>
      <c r="R1813" s="41" t="s">
        <v>1547</v>
      </c>
      <c r="S1813" t="s">
        <v>1547</v>
      </c>
      <c r="V1813" t="s">
        <v>5143</v>
      </c>
      <c r="AH1813" t="s">
        <v>359</v>
      </c>
    </row>
    <row r="1814" spans="1:34" ht="15.75">
      <c r="A1814" s="29">
        <f t="shared" si="28"/>
        <v>52810</v>
      </c>
      <c r="B1814" s="2">
        <v>671</v>
      </c>
      <c r="C1814" s="2">
        <v>9</v>
      </c>
      <c r="D1814" s="2">
        <v>1817</v>
      </c>
      <c r="E1814">
        <v>7314</v>
      </c>
      <c r="H1814" t="s">
        <v>1541</v>
      </c>
      <c r="I1814" s="2">
        <v>2810</v>
      </c>
      <c r="J1814" s="2">
        <v>5000</v>
      </c>
      <c r="K1814" s="8" t="s">
        <v>870</v>
      </c>
      <c r="L1814" s="43" t="s">
        <v>5144</v>
      </c>
      <c r="M1814" s="41" t="s">
        <v>5146</v>
      </c>
      <c r="O1814" s="41" t="s">
        <v>5147</v>
      </c>
      <c r="P1814" s="41">
        <v>12</v>
      </c>
      <c r="Q1814" s="41">
        <v>6</v>
      </c>
      <c r="R1814" s="41">
        <v>52</v>
      </c>
      <c r="S1814" t="s">
        <v>5145</v>
      </c>
      <c r="T1814" t="s">
        <v>5148</v>
      </c>
      <c r="V1814" t="s">
        <v>1513</v>
      </c>
      <c r="X1814">
        <v>0.5</v>
      </c>
      <c r="Y1814" t="s">
        <v>5149</v>
      </c>
      <c r="AH1814" t="s">
        <v>359</v>
      </c>
    </row>
    <row r="1815" spans="1:34" ht="15.75">
      <c r="A1815" s="29">
        <f t="shared" si="28"/>
        <v>875</v>
      </c>
      <c r="B1815" s="2">
        <v>671</v>
      </c>
      <c r="C1815" s="2">
        <v>9</v>
      </c>
      <c r="D1815" s="2">
        <v>1817</v>
      </c>
      <c r="E1815">
        <v>7315</v>
      </c>
      <c r="H1815" t="s">
        <v>1540</v>
      </c>
      <c r="I1815" s="2">
        <v>875</v>
      </c>
      <c r="J1815" s="2">
        <v>0</v>
      </c>
      <c r="K1815" s="8" t="s">
        <v>870</v>
      </c>
      <c r="L1815" s="43" t="s">
        <v>4212</v>
      </c>
      <c r="P1815" s="41">
        <v>6</v>
      </c>
      <c r="Q1815" s="41">
        <v>5</v>
      </c>
      <c r="R1815" s="41" t="s">
        <v>1547</v>
      </c>
      <c r="S1815" t="s">
        <v>3321</v>
      </c>
      <c r="U1815" t="s">
        <v>5150</v>
      </c>
      <c r="AH1815" t="s">
        <v>359</v>
      </c>
    </row>
    <row r="1816" spans="1:34" ht="15.75">
      <c r="A1816" s="29">
        <f t="shared" si="28"/>
        <v>262</v>
      </c>
      <c r="B1816" s="2">
        <v>671</v>
      </c>
      <c r="C1816" s="2">
        <v>9</v>
      </c>
      <c r="D1816" s="2">
        <v>1817</v>
      </c>
      <c r="E1816">
        <v>7316</v>
      </c>
      <c r="H1816" t="s">
        <v>1540</v>
      </c>
      <c r="I1816" s="2">
        <v>262</v>
      </c>
      <c r="J1816" s="2">
        <v>0</v>
      </c>
      <c r="K1816" s="8" t="s">
        <v>4217</v>
      </c>
      <c r="L1816" s="43" t="s">
        <v>4215</v>
      </c>
      <c r="P1816" s="41">
        <v>6</v>
      </c>
      <c r="Q1816" s="41">
        <v>5</v>
      </c>
      <c r="R1816" s="41">
        <v>68</v>
      </c>
      <c r="S1816" t="s">
        <v>3324</v>
      </c>
      <c r="AH1816" t="s">
        <v>359</v>
      </c>
    </row>
    <row r="1817" spans="1:34" ht="15.75">
      <c r="A1817" s="29">
        <f t="shared" si="28"/>
        <v>33037</v>
      </c>
      <c r="B1817" s="2">
        <v>407</v>
      </c>
      <c r="C1817" s="2">
        <v>9</v>
      </c>
      <c r="D1817" s="2">
        <v>1817</v>
      </c>
      <c r="E1817">
        <v>7343</v>
      </c>
      <c r="H1817" t="s">
        <v>850</v>
      </c>
      <c r="I1817" s="2">
        <v>33037</v>
      </c>
      <c r="J1817" s="2"/>
      <c r="K1817" s="8" t="s">
        <v>871</v>
      </c>
      <c r="L1817" s="43" t="s">
        <v>5151</v>
      </c>
      <c r="P1817" s="41">
        <v>27</v>
      </c>
      <c r="Q1817" s="41">
        <v>1</v>
      </c>
      <c r="R1817" s="41" t="s">
        <v>1547</v>
      </c>
      <c r="S1817" t="s">
        <v>874</v>
      </c>
      <c r="V1817" t="s">
        <v>5152</v>
      </c>
      <c r="AH1817" t="s">
        <v>359</v>
      </c>
    </row>
    <row r="1818" spans="1:34" ht="15.75">
      <c r="A1818" s="29">
        <f t="shared" si="28"/>
        <v>5668</v>
      </c>
      <c r="B1818" s="2">
        <v>407</v>
      </c>
      <c r="C1818" s="2">
        <v>9</v>
      </c>
      <c r="D1818" s="2">
        <v>1817</v>
      </c>
      <c r="E1818">
        <v>7344</v>
      </c>
      <c r="H1818" t="s">
        <v>1549</v>
      </c>
      <c r="I1818" s="2">
        <v>5668</v>
      </c>
      <c r="J1818" s="2"/>
      <c r="K1818" s="8" t="s">
        <v>871</v>
      </c>
      <c r="L1818" s="43" t="s">
        <v>5153</v>
      </c>
      <c r="P1818" s="41">
        <v>5</v>
      </c>
      <c r="Q1818" s="41">
        <v>2</v>
      </c>
      <c r="R1818" s="41" t="s">
        <v>1547</v>
      </c>
      <c r="S1818" t="s">
        <v>1547</v>
      </c>
      <c r="V1818" t="s">
        <v>5154</v>
      </c>
      <c r="AH1818" t="s">
        <v>359</v>
      </c>
    </row>
    <row r="1819" spans="1:34" ht="15.75">
      <c r="A1819" s="29">
        <f t="shared" si="28"/>
        <v>200</v>
      </c>
      <c r="B1819" s="2">
        <v>407</v>
      </c>
      <c r="C1819" s="2">
        <v>9</v>
      </c>
      <c r="D1819" s="2">
        <v>1817</v>
      </c>
      <c r="E1819">
        <v>7345</v>
      </c>
      <c r="H1819" t="s">
        <v>850</v>
      </c>
      <c r="I1819" s="2">
        <v>200</v>
      </c>
      <c r="J1819" s="2"/>
      <c r="K1819" s="8" t="s">
        <v>871</v>
      </c>
      <c r="L1819" s="43" t="s">
        <v>5155</v>
      </c>
      <c r="P1819" s="41">
        <v>5</v>
      </c>
      <c r="Q1819" s="41">
        <v>2</v>
      </c>
      <c r="R1819" s="41" t="s">
        <v>1547</v>
      </c>
      <c r="S1819" t="s">
        <v>3321</v>
      </c>
      <c r="V1819" t="s">
        <v>652</v>
      </c>
      <c r="AH1819" t="s">
        <v>359</v>
      </c>
    </row>
    <row r="1820" spans="1:34" ht="15.75">
      <c r="A1820" s="29">
        <f t="shared" si="28"/>
        <v>306</v>
      </c>
      <c r="B1820" s="2">
        <v>672</v>
      </c>
      <c r="C1820" s="2">
        <v>9</v>
      </c>
      <c r="D1820" s="2">
        <v>1817</v>
      </c>
      <c r="E1820">
        <v>7346</v>
      </c>
      <c r="G1820" s="1"/>
      <c r="H1820" t="s">
        <v>1540</v>
      </c>
      <c r="I1820" s="1">
        <v>306</v>
      </c>
      <c r="J1820" s="1">
        <v>0</v>
      </c>
      <c r="K1820" s="1" t="s">
        <v>871</v>
      </c>
      <c r="L1820" s="43" t="s">
        <v>4219</v>
      </c>
      <c r="P1820" s="41">
        <v>19</v>
      </c>
      <c r="Q1820" s="41">
        <v>11</v>
      </c>
      <c r="R1820" s="41">
        <v>38</v>
      </c>
      <c r="S1820" t="s">
        <v>3321</v>
      </c>
      <c r="AH1820" t="s">
        <v>359</v>
      </c>
    </row>
    <row r="1821" spans="1:34" ht="15.75">
      <c r="A1821" s="29">
        <f t="shared" si="28"/>
        <v>72</v>
      </c>
      <c r="B1821" s="2">
        <v>672</v>
      </c>
      <c r="C1821" s="2">
        <v>9</v>
      </c>
      <c r="D1821" s="2">
        <v>1817</v>
      </c>
      <c r="E1821">
        <v>7347</v>
      </c>
      <c r="G1821" s="1"/>
      <c r="H1821" t="s">
        <v>1540</v>
      </c>
      <c r="I1821" s="1">
        <v>72</v>
      </c>
      <c r="J1821" s="1">
        <v>0</v>
      </c>
      <c r="K1821" s="1" t="s">
        <v>871</v>
      </c>
      <c r="L1821" s="43" t="s">
        <v>4806</v>
      </c>
      <c r="P1821" s="41">
        <v>24</v>
      </c>
      <c r="Q1821" s="41">
        <v>1</v>
      </c>
      <c r="R1821" s="41">
        <v>26</v>
      </c>
      <c r="S1821" t="s">
        <v>3324</v>
      </c>
      <c r="AH1821" t="s">
        <v>359</v>
      </c>
    </row>
    <row r="1822" spans="1:34" ht="15.75">
      <c r="A1822" s="29">
        <f t="shared" si="28"/>
        <v>210</v>
      </c>
      <c r="B1822" s="2">
        <v>672</v>
      </c>
      <c r="C1822" s="2">
        <v>9</v>
      </c>
      <c r="D1822" s="2">
        <v>1817</v>
      </c>
      <c r="E1822">
        <v>7348</v>
      </c>
      <c r="G1822" s="1"/>
      <c r="H1822" t="s">
        <v>850</v>
      </c>
      <c r="I1822" s="1">
        <v>210</v>
      </c>
      <c r="J1822" s="1">
        <v>0</v>
      </c>
      <c r="K1822" s="1" t="s">
        <v>871</v>
      </c>
      <c r="L1822" s="43" t="s">
        <v>4806</v>
      </c>
      <c r="P1822" s="41">
        <v>10</v>
      </c>
      <c r="Q1822" s="41">
        <v>9</v>
      </c>
      <c r="R1822" s="41">
        <v>51</v>
      </c>
      <c r="S1822" t="s">
        <v>3321</v>
      </c>
      <c r="AH1822" t="s">
        <v>359</v>
      </c>
    </row>
    <row r="1823" spans="1:34" ht="15.75">
      <c r="A1823" s="29">
        <f t="shared" si="28"/>
        <v>1580</v>
      </c>
      <c r="B1823" s="2">
        <v>672</v>
      </c>
      <c r="C1823" s="2">
        <v>9</v>
      </c>
      <c r="D1823" s="2">
        <v>1817</v>
      </c>
      <c r="E1823">
        <v>7349</v>
      </c>
      <c r="G1823" s="1"/>
      <c r="H1823" t="s">
        <v>1540</v>
      </c>
      <c r="I1823" s="1">
        <v>1580</v>
      </c>
      <c r="J1823" s="1">
        <v>0</v>
      </c>
      <c r="K1823" s="1" t="s">
        <v>871</v>
      </c>
      <c r="L1823" s="43" t="s">
        <v>1346</v>
      </c>
      <c r="P1823" s="41">
        <v>30</v>
      </c>
      <c r="Q1823" s="41">
        <v>5</v>
      </c>
      <c r="R1823" s="41">
        <v>37</v>
      </c>
      <c r="S1823" t="s">
        <v>3321</v>
      </c>
      <c r="AH1823" t="s">
        <v>359</v>
      </c>
    </row>
    <row r="1824" spans="1:34" ht="15.75">
      <c r="A1824" s="29">
        <f t="shared" si="28"/>
        <v>0</v>
      </c>
      <c r="B1824" s="2">
        <v>672</v>
      </c>
      <c r="C1824" s="2">
        <v>9</v>
      </c>
      <c r="D1824" s="2">
        <v>1817</v>
      </c>
      <c r="E1824">
        <v>7350</v>
      </c>
      <c r="G1824" s="1"/>
      <c r="H1824" t="s">
        <v>1540</v>
      </c>
      <c r="I1824" s="1">
        <v>0</v>
      </c>
      <c r="J1824" s="1">
        <v>0</v>
      </c>
      <c r="K1824" s="1" t="s">
        <v>871</v>
      </c>
      <c r="L1824" s="43" t="s">
        <v>4810</v>
      </c>
      <c r="P1824" s="41">
        <v>19</v>
      </c>
      <c r="Q1824" s="41">
        <v>1</v>
      </c>
      <c r="R1824" s="41" t="s">
        <v>1547</v>
      </c>
      <c r="S1824" t="s">
        <v>1547</v>
      </c>
      <c r="V1824" t="s">
        <v>5156</v>
      </c>
      <c r="AH1824" t="s">
        <v>359</v>
      </c>
    </row>
    <row r="1825" spans="1:34" ht="15.75">
      <c r="A1825" s="29">
        <f t="shared" si="28"/>
        <v>9783</v>
      </c>
      <c r="B1825" s="2">
        <v>672</v>
      </c>
      <c r="C1825" s="2">
        <v>9</v>
      </c>
      <c r="D1825" s="2">
        <v>1817</v>
      </c>
      <c r="E1825">
        <v>7351</v>
      </c>
      <c r="G1825" s="1"/>
      <c r="H1825" t="s">
        <v>1540</v>
      </c>
      <c r="I1825" s="1">
        <v>9783</v>
      </c>
      <c r="J1825" s="1">
        <v>0</v>
      </c>
      <c r="K1825" s="1" t="s">
        <v>871</v>
      </c>
      <c r="L1825" s="43" t="s">
        <v>4807</v>
      </c>
      <c r="P1825" s="41">
        <v>14</v>
      </c>
      <c r="Q1825" s="41">
        <v>7</v>
      </c>
      <c r="R1825" s="41">
        <v>31</v>
      </c>
      <c r="S1825" t="s">
        <v>3321</v>
      </c>
      <c r="AH1825" t="s">
        <v>359</v>
      </c>
    </row>
    <row r="1826" spans="1:34" ht="15.75">
      <c r="A1826" s="29">
        <f t="shared" si="28"/>
        <v>2000</v>
      </c>
      <c r="B1826" s="2">
        <v>672</v>
      </c>
      <c r="C1826" s="2">
        <v>9</v>
      </c>
      <c r="D1826" s="2">
        <v>1817</v>
      </c>
      <c r="E1826">
        <v>7352</v>
      </c>
      <c r="G1826" s="1"/>
      <c r="H1826" t="s">
        <v>1540</v>
      </c>
      <c r="I1826" s="1">
        <v>2000</v>
      </c>
      <c r="J1826" s="1">
        <v>0</v>
      </c>
      <c r="K1826" s="1" t="s">
        <v>871</v>
      </c>
      <c r="L1826" s="43" t="s">
        <v>4809</v>
      </c>
      <c r="P1826" s="41">
        <v>23</v>
      </c>
      <c r="Q1826" s="41">
        <v>12</v>
      </c>
      <c r="R1826" s="41">
        <v>32</v>
      </c>
      <c r="S1826" t="s">
        <v>3321</v>
      </c>
      <c r="AH1826" t="s">
        <v>359</v>
      </c>
    </row>
    <row r="1827" spans="1:34" ht="15.75">
      <c r="A1827" s="29">
        <f t="shared" si="28"/>
        <v>94751</v>
      </c>
      <c r="B1827" s="2">
        <v>672</v>
      </c>
      <c r="C1827" s="2">
        <v>9</v>
      </c>
      <c r="D1827" s="2">
        <v>1817</v>
      </c>
      <c r="E1827">
        <v>7353</v>
      </c>
      <c r="G1827" s="1"/>
      <c r="H1827" t="s">
        <v>1549</v>
      </c>
      <c r="I1827" s="1">
        <v>29151</v>
      </c>
      <c r="J1827" s="1">
        <v>3280</v>
      </c>
      <c r="K1827" s="1" t="s">
        <v>871</v>
      </c>
      <c r="L1827" s="43" t="s">
        <v>5157</v>
      </c>
      <c r="M1827" s="41" t="s">
        <v>5159</v>
      </c>
      <c r="N1827" s="41" t="s">
        <v>5160</v>
      </c>
      <c r="O1827" s="41" t="s">
        <v>5161</v>
      </c>
      <c r="P1827" s="41">
        <v>18</v>
      </c>
      <c r="Q1827" s="41">
        <v>3</v>
      </c>
      <c r="R1827" s="41">
        <v>65</v>
      </c>
      <c r="S1827" t="s">
        <v>5158</v>
      </c>
      <c r="T1827" t="s">
        <v>5162</v>
      </c>
      <c r="V1827" t="s">
        <v>5163</v>
      </c>
      <c r="X1827">
        <v>1</v>
      </c>
      <c r="Y1827" t="s">
        <v>5164</v>
      </c>
      <c r="AH1827" t="s">
        <v>359</v>
      </c>
    </row>
    <row r="1828" spans="1:34" ht="15.75">
      <c r="A1828" s="29">
        <f t="shared" si="28"/>
        <v>38630</v>
      </c>
      <c r="B1828" s="2">
        <v>672</v>
      </c>
      <c r="C1828" s="2">
        <v>9</v>
      </c>
      <c r="D1828" s="2">
        <v>1817</v>
      </c>
      <c r="E1828">
        <v>7354</v>
      </c>
      <c r="G1828" s="1"/>
      <c r="H1828" t="s">
        <v>1541</v>
      </c>
      <c r="I1828" s="1">
        <v>7630</v>
      </c>
      <c r="J1828" s="1">
        <v>1550</v>
      </c>
      <c r="K1828" s="1" t="s">
        <v>871</v>
      </c>
      <c r="L1828" s="43" t="s">
        <v>5165</v>
      </c>
      <c r="M1828" s="41" t="s">
        <v>3410</v>
      </c>
      <c r="N1828" s="41" t="s">
        <v>1545</v>
      </c>
      <c r="O1828" s="41" t="s">
        <v>5167</v>
      </c>
      <c r="P1828" s="41">
        <v>13</v>
      </c>
      <c r="Q1828" s="41">
        <v>5</v>
      </c>
      <c r="R1828" s="41" t="s">
        <v>1547</v>
      </c>
      <c r="S1828" t="s">
        <v>5166</v>
      </c>
      <c r="T1828" t="s">
        <v>5168</v>
      </c>
      <c r="V1828" t="s">
        <v>5817</v>
      </c>
      <c r="X1828">
        <v>1</v>
      </c>
      <c r="Y1828" t="s">
        <v>5169</v>
      </c>
      <c r="AH1828" t="s">
        <v>359</v>
      </c>
    </row>
    <row r="1829" spans="1:34" ht="15.75">
      <c r="A1829" s="29">
        <f t="shared" si="28"/>
        <v>4900</v>
      </c>
      <c r="B1829" s="2">
        <v>672</v>
      </c>
      <c r="C1829" s="2">
        <v>9</v>
      </c>
      <c r="D1829" s="2">
        <v>1817</v>
      </c>
      <c r="E1829">
        <v>7357</v>
      </c>
      <c r="G1829" s="1"/>
      <c r="H1829" t="s">
        <v>850</v>
      </c>
      <c r="I1829" s="1">
        <v>4900</v>
      </c>
      <c r="J1829" s="1">
        <v>0</v>
      </c>
      <c r="K1829" s="1" t="s">
        <v>871</v>
      </c>
      <c r="L1829" s="43" t="s">
        <v>1341</v>
      </c>
      <c r="P1829" s="41">
        <v>22</v>
      </c>
      <c r="Q1829" s="41">
        <v>3</v>
      </c>
      <c r="R1829" s="41">
        <v>72</v>
      </c>
      <c r="S1829" t="s">
        <v>3329</v>
      </c>
      <c r="AH1829" t="s">
        <v>359</v>
      </c>
    </row>
    <row r="1830" spans="1:34" ht="15.75">
      <c r="A1830" s="29">
        <f t="shared" si="28"/>
        <v>10076</v>
      </c>
      <c r="B1830" s="2">
        <v>672</v>
      </c>
      <c r="C1830" s="2">
        <v>9</v>
      </c>
      <c r="D1830" s="2">
        <v>1817</v>
      </c>
      <c r="E1830">
        <v>7358</v>
      </c>
      <c r="G1830" s="1"/>
      <c r="H1830" t="s">
        <v>850</v>
      </c>
      <c r="I1830" s="1">
        <v>10076</v>
      </c>
      <c r="J1830" s="1">
        <v>0</v>
      </c>
      <c r="K1830" s="1" t="s">
        <v>871</v>
      </c>
      <c r="L1830" s="43" t="s">
        <v>4813</v>
      </c>
      <c r="P1830" s="41">
        <v>6</v>
      </c>
      <c r="Q1830" s="41">
        <v>5</v>
      </c>
      <c r="R1830" s="41" t="s">
        <v>1547</v>
      </c>
      <c r="S1830" t="s">
        <v>3321</v>
      </c>
      <c r="T1830" t="s">
        <v>5180</v>
      </c>
      <c r="AH1830" t="s">
        <v>359</v>
      </c>
    </row>
    <row r="1831" spans="1:34" ht="15.75">
      <c r="A1831" s="29">
        <f t="shared" si="28"/>
        <v>25</v>
      </c>
      <c r="B1831" s="2">
        <v>672</v>
      </c>
      <c r="C1831" s="2">
        <v>9</v>
      </c>
      <c r="D1831" s="2">
        <v>1817</v>
      </c>
      <c r="E1831">
        <v>7359</v>
      </c>
      <c r="G1831" s="1"/>
      <c r="H1831" t="s">
        <v>850</v>
      </c>
      <c r="I1831" s="1">
        <v>25</v>
      </c>
      <c r="J1831" s="1">
        <v>0</v>
      </c>
      <c r="K1831" s="1" t="s">
        <v>871</v>
      </c>
      <c r="L1831" s="43" t="s">
        <v>4814</v>
      </c>
      <c r="P1831" s="41">
        <v>9</v>
      </c>
      <c r="Q1831" s="41">
        <v>8</v>
      </c>
      <c r="R1831" s="41">
        <v>26</v>
      </c>
      <c r="S1831" t="s">
        <v>3343</v>
      </c>
      <c r="AH1831" t="s">
        <v>359</v>
      </c>
    </row>
    <row r="1832" spans="1:34" ht="15.75">
      <c r="A1832" s="29">
        <f t="shared" si="28"/>
        <v>37</v>
      </c>
      <c r="B1832" s="2">
        <v>672</v>
      </c>
      <c r="C1832" s="2">
        <v>9</v>
      </c>
      <c r="D1832" s="2">
        <v>1817</v>
      </c>
      <c r="E1832">
        <v>7360</v>
      </c>
      <c r="G1832" s="1"/>
      <c r="H1832" t="s">
        <v>850</v>
      </c>
      <c r="I1832" s="1">
        <v>37</v>
      </c>
      <c r="J1832" s="1">
        <v>0</v>
      </c>
      <c r="K1832" s="1" t="s">
        <v>871</v>
      </c>
      <c r="L1832" s="43" t="s">
        <v>4814</v>
      </c>
      <c r="P1832" s="41">
        <v>1</v>
      </c>
      <c r="Q1832" s="41">
        <v>12</v>
      </c>
      <c r="R1832" s="41">
        <v>27</v>
      </c>
      <c r="S1832" t="s">
        <v>3343</v>
      </c>
      <c r="AH1832" t="s">
        <v>359</v>
      </c>
    </row>
    <row r="1833" spans="1:34" ht="15.75">
      <c r="A1833" s="29">
        <f t="shared" si="28"/>
        <v>0</v>
      </c>
      <c r="B1833" s="2">
        <v>672</v>
      </c>
      <c r="C1833" s="2">
        <v>9</v>
      </c>
      <c r="D1833" s="2">
        <v>1817</v>
      </c>
      <c r="E1833">
        <v>7361</v>
      </c>
      <c r="G1833" s="1"/>
      <c r="H1833" t="s">
        <v>1549</v>
      </c>
      <c r="I1833" s="1">
        <v>0</v>
      </c>
      <c r="J1833" s="1">
        <v>0</v>
      </c>
      <c r="K1833" s="1" t="s">
        <v>871</v>
      </c>
      <c r="L1833" s="43" t="s">
        <v>5181</v>
      </c>
      <c r="P1833" s="41">
        <v>21</v>
      </c>
      <c r="Q1833" s="41">
        <v>11</v>
      </c>
      <c r="R1833" s="41">
        <v>69</v>
      </c>
      <c r="S1833" t="s">
        <v>3321</v>
      </c>
      <c r="V1833" t="s">
        <v>5182</v>
      </c>
      <c r="AH1833" t="s">
        <v>359</v>
      </c>
    </row>
    <row r="1834" spans="1:34" ht="15.75">
      <c r="A1834" s="29">
        <f t="shared" si="28"/>
        <v>4896</v>
      </c>
      <c r="B1834" s="2">
        <v>673</v>
      </c>
      <c r="C1834" s="2">
        <v>9</v>
      </c>
      <c r="D1834" s="2">
        <v>1817</v>
      </c>
      <c r="E1834">
        <v>7388</v>
      </c>
      <c r="G1834" s="1"/>
      <c r="H1834" t="s">
        <v>1549</v>
      </c>
      <c r="I1834" s="1">
        <v>4896</v>
      </c>
      <c r="J1834" s="1">
        <v>0</v>
      </c>
      <c r="K1834" s="1" t="s">
        <v>871</v>
      </c>
      <c r="L1834" s="43" t="s">
        <v>4816</v>
      </c>
      <c r="O1834" s="41" t="s">
        <v>5183</v>
      </c>
      <c r="P1834" s="41">
        <v>4</v>
      </c>
      <c r="Q1834" s="41">
        <v>9</v>
      </c>
      <c r="R1834" s="41" t="s">
        <v>1547</v>
      </c>
      <c r="S1834" t="s">
        <v>3343</v>
      </c>
      <c r="AH1834" t="s">
        <v>359</v>
      </c>
    </row>
    <row r="1835" spans="1:34" ht="15.75">
      <c r="A1835" s="29">
        <f t="shared" si="28"/>
        <v>470</v>
      </c>
      <c r="B1835" s="2">
        <v>673</v>
      </c>
      <c r="C1835" s="2">
        <v>9</v>
      </c>
      <c r="D1835" s="2">
        <v>1817</v>
      </c>
      <c r="E1835">
        <v>7389</v>
      </c>
      <c r="G1835" s="1"/>
      <c r="H1835" t="s">
        <v>1549</v>
      </c>
      <c r="I1835" s="1">
        <v>470</v>
      </c>
      <c r="J1835" s="1">
        <v>0</v>
      </c>
      <c r="K1835" s="1" t="s">
        <v>871</v>
      </c>
      <c r="L1835" s="43" t="s">
        <v>4817</v>
      </c>
      <c r="P1835" s="41">
        <v>1</v>
      </c>
      <c r="Q1835" s="41">
        <v>5</v>
      </c>
      <c r="R1835" s="41">
        <v>61</v>
      </c>
      <c r="S1835" t="s">
        <v>3321</v>
      </c>
      <c r="AH1835" t="s">
        <v>359</v>
      </c>
    </row>
    <row r="1836" spans="1:34" ht="15.75">
      <c r="A1836" s="29">
        <f t="shared" si="28"/>
        <v>100</v>
      </c>
      <c r="B1836" s="2">
        <v>673</v>
      </c>
      <c r="C1836" s="2">
        <v>9</v>
      </c>
      <c r="D1836" s="2">
        <v>1817</v>
      </c>
      <c r="E1836">
        <v>7390</v>
      </c>
      <c r="G1836" s="1"/>
      <c r="H1836" t="s">
        <v>1541</v>
      </c>
      <c r="I1836" s="1">
        <v>100</v>
      </c>
      <c r="J1836" s="1">
        <v>0</v>
      </c>
      <c r="K1836" s="1" t="s">
        <v>871</v>
      </c>
      <c r="L1836" s="43" t="s">
        <v>4819</v>
      </c>
      <c r="P1836" s="41">
        <v>30</v>
      </c>
      <c r="Q1836" s="41">
        <v>3</v>
      </c>
      <c r="R1836" s="41">
        <v>36</v>
      </c>
      <c r="S1836" t="s">
        <v>3321</v>
      </c>
      <c r="AH1836" t="s">
        <v>359</v>
      </c>
    </row>
    <row r="1837" spans="1:34" ht="15.75">
      <c r="A1837" s="29">
        <f t="shared" si="28"/>
        <v>1099</v>
      </c>
      <c r="B1837" s="2">
        <v>673</v>
      </c>
      <c r="C1837" s="2">
        <v>9</v>
      </c>
      <c r="D1837" s="2">
        <v>1817</v>
      </c>
      <c r="E1837">
        <v>7391</v>
      </c>
      <c r="G1837" s="1"/>
      <c r="H1837" t="s">
        <v>1549</v>
      </c>
      <c r="I1837" s="1">
        <v>1099</v>
      </c>
      <c r="J1837" s="1">
        <v>0</v>
      </c>
      <c r="K1837" s="1" t="s">
        <v>871</v>
      </c>
      <c r="L1837" s="43" t="s">
        <v>4818</v>
      </c>
      <c r="P1837" s="41">
        <v>5</v>
      </c>
      <c r="Q1837" s="41">
        <v>12</v>
      </c>
      <c r="R1837" s="41">
        <v>33</v>
      </c>
      <c r="S1837" t="s">
        <v>3321</v>
      </c>
      <c r="AH1837" t="s">
        <v>359</v>
      </c>
    </row>
    <row r="1838" spans="1:34" ht="15.75">
      <c r="A1838" s="29">
        <f t="shared" si="28"/>
        <v>1006</v>
      </c>
      <c r="B1838" s="2">
        <v>673</v>
      </c>
      <c r="C1838" s="2">
        <v>9</v>
      </c>
      <c r="D1838" s="2">
        <v>1817</v>
      </c>
      <c r="E1838">
        <v>7392</v>
      </c>
      <c r="G1838" s="1"/>
      <c r="H1838" t="s">
        <v>1549</v>
      </c>
      <c r="I1838" s="1">
        <v>1006</v>
      </c>
      <c r="J1838" s="1">
        <v>0</v>
      </c>
      <c r="K1838" s="1" t="s">
        <v>871</v>
      </c>
      <c r="L1838" s="43" t="s">
        <v>4818</v>
      </c>
      <c r="P1838" s="41">
        <v>21</v>
      </c>
      <c r="Q1838" s="41">
        <v>8</v>
      </c>
      <c r="R1838" s="41">
        <v>51</v>
      </c>
      <c r="S1838" t="s">
        <v>3321</v>
      </c>
      <c r="T1838" t="s">
        <v>3639</v>
      </c>
      <c r="AH1838" t="s">
        <v>359</v>
      </c>
    </row>
    <row r="1839" spans="1:34" ht="15.75">
      <c r="A1839" s="29">
        <f t="shared" si="28"/>
        <v>19906</v>
      </c>
      <c r="B1839" s="8">
        <v>673</v>
      </c>
      <c r="C1839" s="2">
        <v>9</v>
      </c>
      <c r="D1839" s="2">
        <v>1817</v>
      </c>
      <c r="E1839">
        <v>7394</v>
      </c>
      <c r="F1839" s="9"/>
      <c r="G1839" s="7"/>
      <c r="H1839" s="9" t="s">
        <v>1541</v>
      </c>
      <c r="I1839" s="7">
        <v>19906</v>
      </c>
      <c r="J1839" s="7">
        <v>0</v>
      </c>
      <c r="K1839" s="1" t="s">
        <v>871</v>
      </c>
      <c r="L1839" s="43" t="s">
        <v>5184</v>
      </c>
      <c r="M1839" s="41" t="s">
        <v>5186</v>
      </c>
      <c r="O1839" s="41" t="s">
        <v>5187</v>
      </c>
      <c r="P1839" s="41">
        <v>4</v>
      </c>
      <c r="Q1839" s="41">
        <v>6</v>
      </c>
      <c r="R1839" s="41">
        <v>40</v>
      </c>
      <c r="S1839" t="s">
        <v>5185</v>
      </c>
      <c r="T1839" t="s">
        <v>5188</v>
      </c>
      <c r="V1839" t="s">
        <v>1752</v>
      </c>
      <c r="AH1839" t="s">
        <v>359</v>
      </c>
    </row>
    <row r="1840" spans="1:34" ht="15.75">
      <c r="A1840" s="29">
        <f t="shared" si="28"/>
        <v>75</v>
      </c>
      <c r="B1840" s="2">
        <v>673</v>
      </c>
      <c r="C1840" s="2">
        <v>9</v>
      </c>
      <c r="D1840" s="2">
        <v>1817</v>
      </c>
      <c r="E1840">
        <v>7395</v>
      </c>
      <c r="G1840" s="1"/>
      <c r="H1840" t="s">
        <v>1541</v>
      </c>
      <c r="I1840" s="1">
        <v>75</v>
      </c>
      <c r="J1840" s="1">
        <v>0</v>
      </c>
      <c r="K1840" s="1" t="s">
        <v>871</v>
      </c>
      <c r="L1840" s="43" t="s">
        <v>1380</v>
      </c>
      <c r="P1840" s="41">
        <v>8</v>
      </c>
      <c r="Q1840" s="41">
        <v>5</v>
      </c>
      <c r="R1840" s="41">
        <v>69</v>
      </c>
      <c r="S1840" t="s">
        <v>3329</v>
      </c>
      <c r="AH1840" t="s">
        <v>359</v>
      </c>
    </row>
    <row r="1841" spans="1:34" ht="15.75">
      <c r="A1841" s="29">
        <f t="shared" si="28"/>
        <v>32997</v>
      </c>
      <c r="B1841" s="2">
        <v>673</v>
      </c>
      <c r="C1841" s="2">
        <v>9</v>
      </c>
      <c r="D1841" s="2">
        <v>1817</v>
      </c>
      <c r="E1841">
        <v>7396</v>
      </c>
      <c r="G1841" s="1"/>
      <c r="H1841" t="s">
        <v>1549</v>
      </c>
      <c r="I1841" s="1">
        <v>32997</v>
      </c>
      <c r="J1841" s="1">
        <v>0</v>
      </c>
      <c r="K1841" s="1" t="s">
        <v>871</v>
      </c>
      <c r="L1841" s="43" t="s">
        <v>5189</v>
      </c>
      <c r="M1841" s="41" t="s">
        <v>1395</v>
      </c>
      <c r="N1841" s="41" t="s">
        <v>1545</v>
      </c>
      <c r="O1841" s="41" t="s">
        <v>5190</v>
      </c>
      <c r="P1841" s="41">
        <v>5</v>
      </c>
      <c r="Q1841" s="41">
        <v>6</v>
      </c>
      <c r="R1841" s="41">
        <v>31</v>
      </c>
      <c r="S1841" t="s">
        <v>1547</v>
      </c>
      <c r="T1841" t="s">
        <v>5191</v>
      </c>
      <c r="V1841" t="s">
        <v>1663</v>
      </c>
      <c r="AH1841" t="s">
        <v>359</v>
      </c>
    </row>
    <row r="1842" spans="1:34" ht="15.75">
      <c r="A1842" s="29">
        <f t="shared" si="28"/>
        <v>179</v>
      </c>
      <c r="B1842" s="2">
        <v>673</v>
      </c>
      <c r="C1842" s="2">
        <v>9</v>
      </c>
      <c r="D1842" s="2">
        <v>1817</v>
      </c>
      <c r="E1842">
        <v>7397</v>
      </c>
      <c r="G1842" s="1"/>
      <c r="H1842" t="s">
        <v>1549</v>
      </c>
      <c r="I1842" s="1">
        <v>179</v>
      </c>
      <c r="J1842" s="1">
        <v>0</v>
      </c>
      <c r="K1842" s="1" t="s">
        <v>871</v>
      </c>
      <c r="L1842" s="43" t="s">
        <v>1380</v>
      </c>
      <c r="P1842" s="41">
        <v>11</v>
      </c>
      <c r="Q1842" s="41">
        <v>9</v>
      </c>
      <c r="R1842" s="41">
        <v>57</v>
      </c>
      <c r="S1842" t="s">
        <v>3321</v>
      </c>
      <c r="AH1842" t="s">
        <v>359</v>
      </c>
    </row>
    <row r="1843" spans="1:34" ht="15.75">
      <c r="A1843" s="29">
        <f t="shared" si="28"/>
        <v>5</v>
      </c>
      <c r="B1843" s="2">
        <v>673</v>
      </c>
      <c r="C1843" s="2">
        <v>9</v>
      </c>
      <c r="D1843" s="2">
        <v>1817</v>
      </c>
      <c r="E1843">
        <v>7398</v>
      </c>
      <c r="G1843" s="1"/>
      <c r="H1843" t="s">
        <v>1541</v>
      </c>
      <c r="I1843" s="1">
        <v>5</v>
      </c>
      <c r="J1843" s="1">
        <v>0</v>
      </c>
      <c r="K1843" s="1" t="s">
        <v>871</v>
      </c>
      <c r="L1843" s="43" t="s">
        <v>4801</v>
      </c>
      <c r="P1843" s="41">
        <v>2</v>
      </c>
      <c r="Q1843" s="41">
        <v>3</v>
      </c>
      <c r="R1843" s="41">
        <v>68</v>
      </c>
      <c r="S1843" t="s">
        <v>3329</v>
      </c>
      <c r="AH1843" t="s">
        <v>359</v>
      </c>
    </row>
    <row r="1844" spans="1:34" ht="15.75">
      <c r="A1844" s="29">
        <f t="shared" si="28"/>
        <v>679</v>
      </c>
      <c r="B1844" s="2">
        <v>673</v>
      </c>
      <c r="C1844" s="2">
        <v>9</v>
      </c>
      <c r="D1844" s="2">
        <v>1817</v>
      </c>
      <c r="E1844">
        <v>7399</v>
      </c>
      <c r="G1844" s="1"/>
      <c r="H1844" t="s">
        <v>1549</v>
      </c>
      <c r="I1844" s="1">
        <v>679</v>
      </c>
      <c r="J1844" s="1">
        <v>0</v>
      </c>
      <c r="K1844" s="1" t="s">
        <v>871</v>
      </c>
      <c r="L1844" s="43" t="s">
        <v>4801</v>
      </c>
      <c r="P1844" s="41">
        <v>13</v>
      </c>
      <c r="Q1844" s="41">
        <v>7</v>
      </c>
      <c r="R1844" s="41">
        <v>28</v>
      </c>
      <c r="S1844" t="s">
        <v>3343</v>
      </c>
      <c r="AH1844" t="s">
        <v>359</v>
      </c>
    </row>
    <row r="1845" spans="1:34" ht="15.75">
      <c r="A1845" s="29">
        <f t="shared" si="28"/>
        <v>72560</v>
      </c>
      <c r="B1845" s="2">
        <v>673</v>
      </c>
      <c r="C1845" s="2">
        <v>9</v>
      </c>
      <c r="D1845" s="2">
        <v>1817</v>
      </c>
      <c r="E1845">
        <v>7400</v>
      </c>
      <c r="G1845" s="1"/>
      <c r="H1845" t="s">
        <v>1549</v>
      </c>
      <c r="I1845" s="1">
        <v>0</v>
      </c>
      <c r="J1845" s="1">
        <v>3628</v>
      </c>
      <c r="K1845" s="1" t="s">
        <v>871</v>
      </c>
      <c r="L1845" s="43" t="s">
        <v>5192</v>
      </c>
      <c r="M1845" s="41" t="s">
        <v>5194</v>
      </c>
      <c r="N1845" s="41" t="s">
        <v>1545</v>
      </c>
      <c r="O1845" s="41" t="s">
        <v>5195</v>
      </c>
      <c r="P1845" s="41">
        <v>30</v>
      </c>
      <c r="Q1845" s="41">
        <v>5</v>
      </c>
      <c r="R1845" s="41" t="s">
        <v>1547</v>
      </c>
      <c r="S1845" t="s">
        <v>5193</v>
      </c>
      <c r="T1845" t="s">
        <v>5196</v>
      </c>
      <c r="V1845" t="s">
        <v>3409</v>
      </c>
      <c r="X1845">
        <v>1</v>
      </c>
      <c r="AH1845" t="s">
        <v>359</v>
      </c>
    </row>
    <row r="1846" spans="1:34" ht="15.75">
      <c r="A1846" s="29">
        <f t="shared" si="28"/>
        <v>77</v>
      </c>
      <c r="B1846" s="2">
        <v>673</v>
      </c>
      <c r="C1846" s="2">
        <v>9</v>
      </c>
      <c r="D1846" s="2">
        <v>1817</v>
      </c>
      <c r="E1846">
        <v>7401</v>
      </c>
      <c r="G1846" s="1"/>
      <c r="H1846" t="s">
        <v>1541</v>
      </c>
      <c r="I1846" s="1">
        <v>77</v>
      </c>
      <c r="J1846" s="1">
        <v>0</v>
      </c>
      <c r="K1846" s="1" t="s">
        <v>871</v>
      </c>
      <c r="L1846" s="43" t="s">
        <v>4802</v>
      </c>
      <c r="P1846" s="41">
        <v>14</v>
      </c>
      <c r="Q1846" s="41">
        <v>4</v>
      </c>
      <c r="R1846" s="41">
        <v>66</v>
      </c>
      <c r="S1846" t="s">
        <v>3329</v>
      </c>
      <c r="AH1846" t="s">
        <v>359</v>
      </c>
    </row>
    <row r="1847" spans="1:34" ht="15.75">
      <c r="A1847" s="29">
        <f t="shared" si="28"/>
        <v>0</v>
      </c>
      <c r="B1847" s="2">
        <v>673</v>
      </c>
      <c r="C1847" s="2">
        <v>9</v>
      </c>
      <c r="D1847" s="2">
        <v>1817</v>
      </c>
      <c r="E1847">
        <v>7402</v>
      </c>
      <c r="G1847" s="1"/>
      <c r="H1847" t="s">
        <v>1549</v>
      </c>
      <c r="I1847" s="1">
        <v>0</v>
      </c>
      <c r="J1847" s="1">
        <v>0</v>
      </c>
      <c r="K1847" s="1" t="s">
        <v>871</v>
      </c>
      <c r="L1847" s="43" t="s">
        <v>5197</v>
      </c>
      <c r="P1847" s="41">
        <v>11</v>
      </c>
      <c r="Q1847" s="41">
        <v>1</v>
      </c>
      <c r="R1847" s="41">
        <v>39</v>
      </c>
      <c r="S1847" t="s">
        <v>3321</v>
      </c>
      <c r="V1847" t="s">
        <v>5198</v>
      </c>
      <c r="AH1847" t="s">
        <v>359</v>
      </c>
    </row>
    <row r="1848" spans="1:34" ht="15.75">
      <c r="A1848" s="29">
        <f t="shared" si="28"/>
        <v>1246</v>
      </c>
      <c r="B1848" s="2">
        <v>673</v>
      </c>
      <c r="C1848" s="2">
        <v>9</v>
      </c>
      <c r="D1848" s="2">
        <v>1817</v>
      </c>
      <c r="E1848">
        <v>7403</v>
      </c>
      <c r="G1848" s="1"/>
      <c r="H1848" t="s">
        <v>1549</v>
      </c>
      <c r="I1848" s="1">
        <v>1246</v>
      </c>
      <c r="J1848" s="1">
        <v>0</v>
      </c>
      <c r="K1848" s="1" t="s">
        <v>871</v>
      </c>
      <c r="L1848" s="43" t="s">
        <v>5199</v>
      </c>
      <c r="P1848" s="41">
        <v>17</v>
      </c>
      <c r="Q1848" s="41">
        <v>11</v>
      </c>
      <c r="R1848" s="41">
        <v>44</v>
      </c>
      <c r="S1848" t="s">
        <v>1547</v>
      </c>
      <c r="AH1848" t="s">
        <v>359</v>
      </c>
    </row>
    <row r="1849" spans="1:34" ht="15.75">
      <c r="A1849" s="29">
        <f t="shared" si="28"/>
        <v>73</v>
      </c>
      <c r="B1849" s="2">
        <v>674</v>
      </c>
      <c r="C1849" s="2">
        <v>9</v>
      </c>
      <c r="D1849" s="2">
        <v>1817</v>
      </c>
      <c r="E1849">
        <v>7438</v>
      </c>
      <c r="G1849" s="1"/>
      <c r="H1849" t="s">
        <v>850</v>
      </c>
      <c r="I1849" s="1">
        <v>73</v>
      </c>
      <c r="J1849" s="1">
        <v>0</v>
      </c>
      <c r="K1849" s="1" t="s">
        <v>871</v>
      </c>
      <c r="L1849" s="43" t="s">
        <v>5200</v>
      </c>
      <c r="P1849" s="41">
        <v>5</v>
      </c>
      <c r="Q1849" s="41">
        <v>4</v>
      </c>
      <c r="R1849" s="41">
        <v>49</v>
      </c>
      <c r="S1849" t="s">
        <v>3321</v>
      </c>
      <c r="AH1849" t="s">
        <v>359</v>
      </c>
    </row>
    <row r="1850" spans="1:34" ht="15.75">
      <c r="A1850" s="29">
        <f t="shared" si="28"/>
        <v>271</v>
      </c>
      <c r="B1850" s="2">
        <v>674</v>
      </c>
      <c r="C1850" s="2">
        <v>9</v>
      </c>
      <c r="D1850" s="2">
        <v>1817</v>
      </c>
      <c r="E1850">
        <v>7439</v>
      </c>
      <c r="G1850" s="1"/>
      <c r="H1850" t="s">
        <v>1540</v>
      </c>
      <c r="I1850" s="1">
        <v>271</v>
      </c>
      <c r="J1850" s="1">
        <v>0</v>
      </c>
      <c r="K1850" s="1" t="s">
        <v>871</v>
      </c>
      <c r="L1850" s="43" t="s">
        <v>5201</v>
      </c>
      <c r="P1850" s="41">
        <v>19</v>
      </c>
      <c r="Q1850" s="41">
        <v>8</v>
      </c>
      <c r="R1850" s="41">
        <v>51</v>
      </c>
      <c r="S1850" t="s">
        <v>3321</v>
      </c>
      <c r="AH1850" t="s">
        <v>359</v>
      </c>
    </row>
    <row r="1851" spans="1:34" ht="15.75">
      <c r="A1851" s="29">
        <f t="shared" si="28"/>
        <v>37</v>
      </c>
      <c r="B1851" s="2">
        <v>674</v>
      </c>
      <c r="C1851" s="2">
        <v>9</v>
      </c>
      <c r="D1851" s="2">
        <v>1817</v>
      </c>
      <c r="E1851">
        <v>7440</v>
      </c>
      <c r="G1851" s="1"/>
      <c r="H1851" t="s">
        <v>1540</v>
      </c>
      <c r="I1851" s="1">
        <v>37</v>
      </c>
      <c r="J1851" s="1">
        <v>0</v>
      </c>
      <c r="K1851" s="1" t="s">
        <v>871</v>
      </c>
      <c r="L1851" s="43" t="s">
        <v>4820</v>
      </c>
      <c r="P1851" s="41">
        <v>15</v>
      </c>
      <c r="Q1851" s="41">
        <v>10</v>
      </c>
      <c r="R1851" s="41">
        <v>73</v>
      </c>
      <c r="S1851" t="s">
        <v>3321</v>
      </c>
      <c r="AH1851" t="s">
        <v>359</v>
      </c>
    </row>
    <row r="1852" spans="1:34" ht="15.75">
      <c r="A1852" s="29">
        <f t="shared" si="28"/>
        <v>167918</v>
      </c>
      <c r="B1852" s="2">
        <v>674</v>
      </c>
      <c r="C1852" s="2">
        <v>9</v>
      </c>
      <c r="D1852" s="2">
        <v>1817</v>
      </c>
      <c r="E1852">
        <v>7441</v>
      </c>
      <c r="G1852" s="1"/>
      <c r="H1852" t="s">
        <v>1541</v>
      </c>
      <c r="I1852" s="1">
        <v>167918</v>
      </c>
      <c r="J1852" s="1">
        <v>0</v>
      </c>
      <c r="K1852" s="1" t="s">
        <v>871</v>
      </c>
      <c r="L1852" s="43" t="s">
        <v>3408</v>
      </c>
      <c r="M1852" s="41" t="s">
        <v>5203</v>
      </c>
      <c r="O1852" s="41" t="s">
        <v>5204</v>
      </c>
      <c r="P1852" s="41">
        <v>29</v>
      </c>
      <c r="Q1852" s="41">
        <v>6</v>
      </c>
      <c r="R1852" s="41">
        <v>23</v>
      </c>
      <c r="S1852" t="s">
        <v>5202</v>
      </c>
      <c r="T1852" t="s">
        <v>718</v>
      </c>
      <c r="V1852" t="s">
        <v>3930</v>
      </c>
      <c r="AH1852" t="s">
        <v>359</v>
      </c>
    </row>
    <row r="1853" spans="1:34" ht="15.75">
      <c r="A1853" s="29">
        <f t="shared" si="28"/>
        <v>150</v>
      </c>
      <c r="B1853" s="2">
        <v>674</v>
      </c>
      <c r="C1853" s="2">
        <v>9</v>
      </c>
      <c r="D1853" s="2">
        <v>1817</v>
      </c>
      <c r="E1853">
        <v>7442</v>
      </c>
      <c r="G1853" s="1"/>
      <c r="H1853" t="s">
        <v>1541</v>
      </c>
      <c r="I1853" s="1">
        <v>150</v>
      </c>
      <c r="J1853" s="1">
        <v>0</v>
      </c>
      <c r="K1853" s="1" t="s">
        <v>871</v>
      </c>
      <c r="L1853" s="43" t="s">
        <v>4821</v>
      </c>
      <c r="P1853" s="41">
        <v>19</v>
      </c>
      <c r="Q1853" s="41">
        <v>7</v>
      </c>
      <c r="R1853" s="41">
        <v>61</v>
      </c>
      <c r="S1853" t="s">
        <v>3321</v>
      </c>
      <c r="AH1853" t="s">
        <v>359</v>
      </c>
    </row>
    <row r="1854" spans="1:34" ht="15.75">
      <c r="A1854" s="29">
        <f t="shared" si="28"/>
        <v>196</v>
      </c>
      <c r="B1854" s="2">
        <v>674</v>
      </c>
      <c r="C1854" s="2">
        <v>9</v>
      </c>
      <c r="D1854" s="2">
        <v>1817</v>
      </c>
      <c r="E1854">
        <v>7443</v>
      </c>
      <c r="G1854" s="1"/>
      <c r="H1854" t="s">
        <v>1540</v>
      </c>
      <c r="I1854" s="1">
        <v>196</v>
      </c>
      <c r="J1854" s="1">
        <v>0</v>
      </c>
      <c r="K1854" s="1" t="s">
        <v>871</v>
      </c>
      <c r="L1854" s="43" t="s">
        <v>4821</v>
      </c>
      <c r="P1854" s="41">
        <v>13</v>
      </c>
      <c r="Q1854" s="41">
        <v>8</v>
      </c>
      <c r="R1854" s="41">
        <v>84</v>
      </c>
      <c r="S1854" t="s">
        <v>3324</v>
      </c>
      <c r="AH1854" t="s">
        <v>359</v>
      </c>
    </row>
    <row r="1855" spans="1:34" ht="15.75">
      <c r="A1855" s="29">
        <f t="shared" si="28"/>
        <v>48</v>
      </c>
      <c r="B1855" s="2">
        <v>674</v>
      </c>
      <c r="C1855" s="2">
        <v>9</v>
      </c>
      <c r="D1855" s="2">
        <v>1817</v>
      </c>
      <c r="E1855">
        <v>7444</v>
      </c>
      <c r="G1855" s="1"/>
      <c r="H1855" t="s">
        <v>1540</v>
      </c>
      <c r="I1855" s="1">
        <v>48</v>
      </c>
      <c r="J1855" s="1">
        <v>0</v>
      </c>
      <c r="K1855" s="1" t="s">
        <v>871</v>
      </c>
      <c r="L1855" s="43" t="s">
        <v>4826</v>
      </c>
      <c r="P1855" s="41">
        <v>28</v>
      </c>
      <c r="Q1855" s="41">
        <v>9</v>
      </c>
      <c r="R1855" s="41">
        <v>37</v>
      </c>
      <c r="S1855" t="s">
        <v>3321</v>
      </c>
      <c r="AH1855" t="s">
        <v>359</v>
      </c>
    </row>
    <row r="1856" spans="1:34" ht="15.75">
      <c r="A1856" s="29">
        <f t="shared" si="28"/>
        <v>0</v>
      </c>
      <c r="B1856" s="2">
        <v>674</v>
      </c>
      <c r="C1856" s="2">
        <v>9</v>
      </c>
      <c r="D1856" s="2">
        <v>1817</v>
      </c>
      <c r="E1856">
        <v>7445</v>
      </c>
      <c r="G1856" s="1"/>
      <c r="H1856" t="s">
        <v>1549</v>
      </c>
      <c r="I1856" s="1">
        <v>0</v>
      </c>
      <c r="J1856" s="1">
        <v>0</v>
      </c>
      <c r="K1856" s="1" t="s">
        <v>871</v>
      </c>
      <c r="L1856" s="43" t="s">
        <v>4821</v>
      </c>
      <c r="P1856" s="41">
        <v>17</v>
      </c>
      <c r="Q1856" s="41">
        <v>2</v>
      </c>
      <c r="R1856" s="41" t="s">
        <v>1547</v>
      </c>
      <c r="S1856" t="s">
        <v>3324</v>
      </c>
      <c r="V1856" t="s">
        <v>5205</v>
      </c>
      <c r="AH1856" t="s">
        <v>359</v>
      </c>
    </row>
    <row r="1857" spans="1:34" ht="15.75">
      <c r="A1857" s="29">
        <f t="shared" si="28"/>
        <v>151</v>
      </c>
      <c r="B1857" s="2">
        <v>675</v>
      </c>
      <c r="C1857" s="2">
        <v>9</v>
      </c>
      <c r="D1857" s="2">
        <v>1817</v>
      </c>
      <c r="E1857">
        <v>7474</v>
      </c>
      <c r="G1857" s="1"/>
      <c r="H1857" s="1" t="s">
        <v>1541</v>
      </c>
      <c r="I1857" s="2">
        <v>151</v>
      </c>
      <c r="J1857" s="2">
        <v>0</v>
      </c>
      <c r="K1857" s="2" t="s">
        <v>872</v>
      </c>
      <c r="L1857" s="43" t="s">
        <v>4827</v>
      </c>
      <c r="P1857" s="41">
        <v>17</v>
      </c>
      <c r="Q1857" s="41">
        <v>1</v>
      </c>
      <c r="R1857" s="41">
        <v>81</v>
      </c>
      <c r="S1857" t="s">
        <v>3329</v>
      </c>
      <c r="AH1857" t="s">
        <v>359</v>
      </c>
    </row>
    <row r="1858" spans="1:34" ht="15.75">
      <c r="A1858" s="29">
        <f aca="true" t="shared" si="29" ref="A1858:A1921">I1858+J1858*20*X1858</f>
        <v>874</v>
      </c>
      <c r="B1858" s="2">
        <v>675</v>
      </c>
      <c r="C1858" s="2">
        <v>9</v>
      </c>
      <c r="D1858" s="2">
        <v>1817</v>
      </c>
      <c r="E1858">
        <v>7475</v>
      </c>
      <c r="G1858" s="1"/>
      <c r="H1858" s="1" t="s">
        <v>1541</v>
      </c>
      <c r="I1858" s="2">
        <v>874</v>
      </c>
      <c r="J1858" s="2">
        <v>0</v>
      </c>
      <c r="K1858" s="2" t="s">
        <v>872</v>
      </c>
      <c r="L1858" s="43" t="s">
        <v>4828</v>
      </c>
      <c r="P1858" s="41">
        <v>1</v>
      </c>
      <c r="Q1858" s="41">
        <v>10</v>
      </c>
      <c r="R1858" s="41">
        <v>39</v>
      </c>
      <c r="S1858" t="s">
        <v>3321</v>
      </c>
      <c r="AH1858" t="s">
        <v>359</v>
      </c>
    </row>
    <row r="1859" spans="1:34" ht="15.75">
      <c r="A1859" s="29">
        <f t="shared" si="29"/>
        <v>77</v>
      </c>
      <c r="B1859" s="2">
        <v>675</v>
      </c>
      <c r="C1859" s="2">
        <v>9</v>
      </c>
      <c r="D1859" s="2">
        <v>1817</v>
      </c>
      <c r="E1859">
        <v>7476</v>
      </c>
      <c r="G1859" s="1"/>
      <c r="H1859" s="1" t="s">
        <v>1540</v>
      </c>
      <c r="I1859" s="2">
        <v>77</v>
      </c>
      <c r="J1859" s="2">
        <v>0</v>
      </c>
      <c r="K1859" s="2" t="s">
        <v>872</v>
      </c>
      <c r="L1859" s="43" t="s">
        <v>4829</v>
      </c>
      <c r="P1859" s="41">
        <v>12</v>
      </c>
      <c r="Q1859" s="41">
        <v>1</v>
      </c>
      <c r="R1859" s="41">
        <v>20</v>
      </c>
      <c r="S1859" t="s">
        <v>3321</v>
      </c>
      <c r="AH1859" t="s">
        <v>359</v>
      </c>
    </row>
    <row r="1860" spans="1:34" ht="15.75">
      <c r="A1860" s="29">
        <f t="shared" si="29"/>
        <v>68</v>
      </c>
      <c r="B1860" s="2">
        <v>675</v>
      </c>
      <c r="C1860" s="2">
        <v>9</v>
      </c>
      <c r="D1860" s="2">
        <v>1817</v>
      </c>
      <c r="E1860">
        <v>7477</v>
      </c>
      <c r="G1860" s="1"/>
      <c r="H1860" s="1" t="s">
        <v>1540</v>
      </c>
      <c r="I1860" s="2">
        <v>68</v>
      </c>
      <c r="J1860" s="2">
        <v>0</v>
      </c>
      <c r="K1860" s="2" t="s">
        <v>872</v>
      </c>
      <c r="L1860" s="43" t="s">
        <v>4829</v>
      </c>
      <c r="P1860" s="41">
        <v>1</v>
      </c>
      <c r="Q1860" s="41">
        <v>4</v>
      </c>
      <c r="R1860" s="41" t="s">
        <v>1547</v>
      </c>
      <c r="S1860" t="s">
        <v>3321</v>
      </c>
      <c r="T1860" t="s">
        <v>1310</v>
      </c>
      <c r="AH1860" t="s">
        <v>359</v>
      </c>
    </row>
    <row r="1861" spans="1:34" ht="15.75">
      <c r="A1861" s="29">
        <f t="shared" si="29"/>
        <v>296</v>
      </c>
      <c r="B1861" s="2">
        <v>675</v>
      </c>
      <c r="C1861" s="2">
        <v>9</v>
      </c>
      <c r="D1861" s="2">
        <v>1817</v>
      </c>
      <c r="E1861">
        <v>7478</v>
      </c>
      <c r="G1861" s="1"/>
      <c r="H1861" s="1" t="s">
        <v>1541</v>
      </c>
      <c r="I1861" s="2">
        <v>296</v>
      </c>
      <c r="J1861" s="2">
        <v>0</v>
      </c>
      <c r="K1861" s="2" t="s">
        <v>872</v>
      </c>
      <c r="L1861" s="43" t="s">
        <v>4830</v>
      </c>
      <c r="P1861" s="41">
        <v>17</v>
      </c>
      <c r="Q1861" s="41">
        <v>2</v>
      </c>
      <c r="R1861" s="41">
        <v>30</v>
      </c>
      <c r="S1861" t="s">
        <v>3321</v>
      </c>
      <c r="AH1861" t="s">
        <v>359</v>
      </c>
    </row>
    <row r="1862" spans="1:34" ht="15.75">
      <c r="A1862" s="29">
        <f t="shared" si="29"/>
        <v>353</v>
      </c>
      <c r="B1862" s="2">
        <v>675</v>
      </c>
      <c r="C1862" s="2">
        <v>9</v>
      </c>
      <c r="D1862" s="2">
        <v>1817</v>
      </c>
      <c r="E1862">
        <v>7479</v>
      </c>
      <c r="G1862" s="1"/>
      <c r="H1862" s="1" t="s">
        <v>1541</v>
      </c>
      <c r="I1862" s="2">
        <v>353</v>
      </c>
      <c r="J1862" s="2">
        <v>0</v>
      </c>
      <c r="K1862" s="2" t="s">
        <v>872</v>
      </c>
      <c r="L1862" s="43" t="s">
        <v>4830</v>
      </c>
      <c r="P1862" s="41">
        <v>25</v>
      </c>
      <c r="Q1862" s="41">
        <v>3</v>
      </c>
      <c r="R1862" s="41">
        <v>56</v>
      </c>
      <c r="S1862" t="s">
        <v>3321</v>
      </c>
      <c r="AH1862" t="s">
        <v>359</v>
      </c>
    </row>
    <row r="1863" spans="1:34" ht="15.75">
      <c r="A1863" s="29">
        <f t="shared" si="29"/>
        <v>50</v>
      </c>
      <c r="B1863" s="2">
        <v>675</v>
      </c>
      <c r="C1863" s="2">
        <v>9</v>
      </c>
      <c r="D1863" s="2">
        <v>1817</v>
      </c>
      <c r="E1863">
        <v>7480</v>
      </c>
      <c r="G1863" s="1"/>
      <c r="H1863" s="1" t="s">
        <v>1540</v>
      </c>
      <c r="I1863" s="2">
        <v>50</v>
      </c>
      <c r="J1863" s="2">
        <v>0</v>
      </c>
      <c r="K1863" s="2" t="s">
        <v>872</v>
      </c>
      <c r="L1863" s="43" t="s">
        <v>4831</v>
      </c>
      <c r="N1863" s="41" t="s">
        <v>3347</v>
      </c>
      <c r="P1863" s="41">
        <v>3</v>
      </c>
      <c r="Q1863" s="41">
        <v>7</v>
      </c>
      <c r="R1863" s="41">
        <v>14</v>
      </c>
      <c r="S1863" t="s">
        <v>3343</v>
      </c>
      <c r="AH1863" t="s">
        <v>359</v>
      </c>
    </row>
    <row r="1864" spans="1:34" ht="15.75">
      <c r="A1864" s="29">
        <f t="shared" si="29"/>
        <v>683</v>
      </c>
      <c r="B1864" s="2">
        <v>675</v>
      </c>
      <c r="C1864" s="2">
        <v>9</v>
      </c>
      <c r="D1864" s="2">
        <v>1817</v>
      </c>
      <c r="E1864">
        <v>7482</v>
      </c>
      <c r="G1864" s="1"/>
      <c r="H1864" s="1" t="s">
        <v>1541</v>
      </c>
      <c r="I1864" s="2">
        <v>683</v>
      </c>
      <c r="J1864" s="2">
        <v>0</v>
      </c>
      <c r="K1864" s="2" t="s">
        <v>872</v>
      </c>
      <c r="L1864" s="43" t="s">
        <v>4227</v>
      </c>
      <c r="P1864" s="41">
        <v>19</v>
      </c>
      <c r="Q1864" s="41">
        <v>2</v>
      </c>
      <c r="R1864" s="41">
        <v>47</v>
      </c>
      <c r="S1864" t="s">
        <v>3321</v>
      </c>
      <c r="AH1864" t="s">
        <v>359</v>
      </c>
    </row>
    <row r="1865" spans="1:34" ht="15.75">
      <c r="A1865" s="29">
        <f t="shared" si="29"/>
        <v>500</v>
      </c>
      <c r="B1865" s="2">
        <v>675</v>
      </c>
      <c r="C1865" s="2">
        <v>9</v>
      </c>
      <c r="D1865" s="2">
        <v>1817</v>
      </c>
      <c r="E1865">
        <v>7483</v>
      </c>
      <c r="G1865" s="1"/>
      <c r="H1865" s="1" t="s">
        <v>1540</v>
      </c>
      <c r="I1865" s="2">
        <v>500</v>
      </c>
      <c r="J1865" s="2">
        <v>0</v>
      </c>
      <c r="K1865" s="2" t="s">
        <v>872</v>
      </c>
      <c r="L1865" s="43" t="s">
        <v>4227</v>
      </c>
      <c r="P1865" s="41">
        <v>16</v>
      </c>
      <c r="Q1865" s="41">
        <v>5</v>
      </c>
      <c r="R1865" s="41">
        <v>64</v>
      </c>
      <c r="S1865" t="s">
        <v>3321</v>
      </c>
      <c r="AH1865" t="s">
        <v>359</v>
      </c>
    </row>
    <row r="1866" spans="1:34" ht="15.75">
      <c r="A1866" s="29">
        <f t="shared" si="29"/>
        <v>451</v>
      </c>
      <c r="B1866" s="2">
        <v>675</v>
      </c>
      <c r="C1866" s="2">
        <v>9</v>
      </c>
      <c r="D1866" s="2">
        <v>1817</v>
      </c>
      <c r="E1866">
        <v>7484</v>
      </c>
      <c r="G1866" s="1"/>
      <c r="H1866" s="1" t="s">
        <v>1540</v>
      </c>
      <c r="I1866" s="2">
        <v>451</v>
      </c>
      <c r="J1866" s="2">
        <v>0</v>
      </c>
      <c r="K1866" s="2" t="s">
        <v>872</v>
      </c>
      <c r="L1866" s="43" t="s">
        <v>4227</v>
      </c>
      <c r="P1866" s="41">
        <v>31</v>
      </c>
      <c r="Q1866" s="41">
        <v>5</v>
      </c>
      <c r="R1866" s="41">
        <v>39</v>
      </c>
      <c r="S1866" t="s">
        <v>3321</v>
      </c>
      <c r="AH1866" t="s">
        <v>359</v>
      </c>
    </row>
    <row r="1867" spans="1:34" ht="15.75">
      <c r="A1867" s="29">
        <f t="shared" si="29"/>
        <v>58</v>
      </c>
      <c r="B1867" s="2">
        <v>675</v>
      </c>
      <c r="C1867" s="2">
        <v>9</v>
      </c>
      <c r="D1867" s="2">
        <v>1817</v>
      </c>
      <c r="E1867">
        <v>7485</v>
      </c>
      <c r="G1867" s="1"/>
      <c r="H1867" s="1" t="s">
        <v>1540</v>
      </c>
      <c r="I1867" s="2">
        <v>58</v>
      </c>
      <c r="J1867" s="2">
        <v>0</v>
      </c>
      <c r="K1867" s="2" t="s">
        <v>872</v>
      </c>
      <c r="L1867" s="43" t="s">
        <v>4227</v>
      </c>
      <c r="P1867" s="41">
        <v>5</v>
      </c>
      <c r="Q1867" s="41">
        <v>10</v>
      </c>
      <c r="R1867" s="41">
        <v>76</v>
      </c>
      <c r="S1867" t="s">
        <v>3321</v>
      </c>
      <c r="AH1867" t="s">
        <v>359</v>
      </c>
    </row>
    <row r="1868" spans="1:34" ht="15.75">
      <c r="A1868" s="29">
        <f t="shared" si="29"/>
        <v>0</v>
      </c>
      <c r="B1868" s="2">
        <v>675</v>
      </c>
      <c r="C1868" s="2">
        <v>9</v>
      </c>
      <c r="D1868" s="2">
        <v>1817</v>
      </c>
      <c r="E1868">
        <v>7486</v>
      </c>
      <c r="G1868" s="1"/>
      <c r="H1868" s="1" t="s">
        <v>850</v>
      </c>
      <c r="I1868" s="2">
        <v>0</v>
      </c>
      <c r="J1868" s="2">
        <v>0</v>
      </c>
      <c r="K1868" s="2" t="s">
        <v>872</v>
      </c>
      <c r="L1868" s="43" t="s">
        <v>5210</v>
      </c>
      <c r="P1868" s="41">
        <v>10</v>
      </c>
      <c r="Q1868" s="41">
        <v>11</v>
      </c>
      <c r="R1868" s="41" t="s">
        <v>1547</v>
      </c>
      <c r="S1868" t="s">
        <v>3321</v>
      </c>
      <c r="V1868" t="s">
        <v>569</v>
      </c>
      <c r="AH1868" t="s">
        <v>359</v>
      </c>
    </row>
    <row r="1869" spans="1:34" ht="15.75">
      <c r="A1869" s="29">
        <f t="shared" si="29"/>
        <v>676</v>
      </c>
      <c r="B1869" s="2">
        <v>676</v>
      </c>
      <c r="C1869" s="2">
        <v>9</v>
      </c>
      <c r="D1869" s="2">
        <v>1817</v>
      </c>
      <c r="E1869">
        <v>7512</v>
      </c>
      <c r="G1869" s="1"/>
      <c r="H1869" s="1" t="s">
        <v>1540</v>
      </c>
      <c r="I1869" s="2">
        <v>676</v>
      </c>
      <c r="J1869" s="2">
        <v>0</v>
      </c>
      <c r="K1869" s="2" t="s">
        <v>872</v>
      </c>
      <c r="L1869" s="43" t="s">
        <v>5211</v>
      </c>
      <c r="P1869" s="41">
        <v>8</v>
      </c>
      <c r="Q1869" s="41">
        <v>9</v>
      </c>
      <c r="R1869" s="41">
        <v>55</v>
      </c>
      <c r="S1869" t="s">
        <v>3321</v>
      </c>
      <c r="AH1869" t="s">
        <v>359</v>
      </c>
    </row>
    <row r="1870" spans="1:34" ht="15.75">
      <c r="A1870" s="29">
        <f t="shared" si="29"/>
        <v>6899</v>
      </c>
      <c r="B1870" s="2">
        <v>676</v>
      </c>
      <c r="C1870" s="2">
        <v>9</v>
      </c>
      <c r="D1870" s="2">
        <v>1817</v>
      </c>
      <c r="E1870">
        <v>7513</v>
      </c>
      <c r="G1870" s="1"/>
      <c r="H1870" s="1" t="s">
        <v>1540</v>
      </c>
      <c r="I1870" s="2">
        <v>6899</v>
      </c>
      <c r="J1870" s="2">
        <v>0</v>
      </c>
      <c r="K1870" s="2" t="s">
        <v>872</v>
      </c>
      <c r="L1870" s="43" t="s">
        <v>5212</v>
      </c>
      <c r="N1870" s="41" t="s">
        <v>3347</v>
      </c>
      <c r="P1870" s="41">
        <v>18</v>
      </c>
      <c r="Q1870" s="41">
        <v>8</v>
      </c>
      <c r="R1870" s="41">
        <v>8</v>
      </c>
      <c r="S1870" t="s">
        <v>3343</v>
      </c>
      <c r="AH1870" t="s">
        <v>359</v>
      </c>
    </row>
    <row r="1871" spans="1:34" ht="15.75">
      <c r="A1871" s="29">
        <f t="shared" si="29"/>
        <v>7934</v>
      </c>
      <c r="B1871" s="2">
        <v>676</v>
      </c>
      <c r="C1871" s="2">
        <v>9</v>
      </c>
      <c r="D1871" s="2">
        <v>1817</v>
      </c>
      <c r="E1871">
        <v>7514</v>
      </c>
      <c r="G1871" s="1"/>
      <c r="H1871" s="1" t="s">
        <v>1540</v>
      </c>
      <c r="I1871" s="2">
        <v>7934</v>
      </c>
      <c r="J1871" s="2">
        <v>0</v>
      </c>
      <c r="K1871" s="2" t="s">
        <v>872</v>
      </c>
      <c r="L1871" s="43" t="s">
        <v>5212</v>
      </c>
      <c r="N1871" s="41" t="s">
        <v>3347</v>
      </c>
      <c r="P1871" s="41">
        <v>9</v>
      </c>
      <c r="Q1871" s="41">
        <v>9</v>
      </c>
      <c r="R1871" s="41">
        <v>15</v>
      </c>
      <c r="S1871" t="s">
        <v>3343</v>
      </c>
      <c r="AH1871" t="s">
        <v>359</v>
      </c>
    </row>
    <row r="1872" spans="1:34" ht="15.75">
      <c r="A1872" s="29">
        <f t="shared" si="29"/>
        <v>28741</v>
      </c>
      <c r="B1872" s="8">
        <v>676</v>
      </c>
      <c r="C1872" s="2">
        <v>9</v>
      </c>
      <c r="D1872" s="2">
        <v>1817</v>
      </c>
      <c r="E1872">
        <v>7515</v>
      </c>
      <c r="F1872" s="9"/>
      <c r="G1872" s="7"/>
      <c r="H1872" s="7" t="s">
        <v>1540</v>
      </c>
      <c r="I1872" s="8">
        <v>28741</v>
      </c>
      <c r="J1872" s="8">
        <v>0</v>
      </c>
      <c r="K1872" s="2" t="s">
        <v>872</v>
      </c>
      <c r="L1872" s="43" t="s">
        <v>5213</v>
      </c>
      <c r="M1872" s="41" t="s">
        <v>5215</v>
      </c>
      <c r="N1872" s="41" t="s">
        <v>851</v>
      </c>
      <c r="O1872" s="41" t="s">
        <v>5216</v>
      </c>
      <c r="P1872" s="41">
        <v>12</v>
      </c>
      <c r="Q1872" s="41">
        <v>7</v>
      </c>
      <c r="R1872" s="41">
        <v>56</v>
      </c>
      <c r="S1872" t="s">
        <v>5214</v>
      </c>
      <c r="T1872" t="s">
        <v>4645</v>
      </c>
      <c r="V1872" t="s">
        <v>5217</v>
      </c>
      <c r="AH1872" t="s">
        <v>359</v>
      </c>
    </row>
    <row r="1873" spans="1:34" ht="15.75">
      <c r="A1873" s="29">
        <f t="shared" si="29"/>
        <v>1362</v>
      </c>
      <c r="B1873" s="2">
        <v>677</v>
      </c>
      <c r="C1873" s="2">
        <v>9</v>
      </c>
      <c r="D1873" s="2">
        <v>1817</v>
      </c>
      <c r="E1873">
        <v>7528</v>
      </c>
      <c r="G1873" s="1"/>
      <c r="H1873" s="1" t="s">
        <v>1541</v>
      </c>
      <c r="I1873" s="2">
        <f>1212+150</f>
        <v>1362</v>
      </c>
      <c r="J1873" s="2">
        <v>0</v>
      </c>
      <c r="K1873" s="2" t="s">
        <v>873</v>
      </c>
      <c r="AH1873" t="s">
        <v>359</v>
      </c>
    </row>
    <row r="1874" spans="1:34" ht="15.75">
      <c r="A1874" s="29">
        <f t="shared" si="29"/>
        <v>485</v>
      </c>
      <c r="B1874" s="2">
        <v>677</v>
      </c>
      <c r="C1874" s="2">
        <v>9</v>
      </c>
      <c r="D1874" s="2">
        <v>1817</v>
      </c>
      <c r="E1874">
        <v>7529</v>
      </c>
      <c r="G1874" s="1"/>
      <c r="H1874" s="1" t="s">
        <v>1541</v>
      </c>
      <c r="I1874" s="2">
        <v>485</v>
      </c>
      <c r="J1874" s="2">
        <v>0</v>
      </c>
      <c r="K1874" s="2" t="s">
        <v>873</v>
      </c>
      <c r="AH1874" t="s">
        <v>359</v>
      </c>
    </row>
    <row r="1875" spans="1:34" ht="15.75">
      <c r="A1875" s="29">
        <f t="shared" si="29"/>
        <v>1266</v>
      </c>
      <c r="B1875" s="2">
        <v>677</v>
      </c>
      <c r="C1875" s="2">
        <v>9</v>
      </c>
      <c r="D1875" s="2">
        <v>1817</v>
      </c>
      <c r="E1875">
        <v>7530</v>
      </c>
      <c r="G1875" s="1"/>
      <c r="H1875" s="1" t="s">
        <v>4655</v>
      </c>
      <c r="I1875" s="2">
        <v>1266</v>
      </c>
      <c r="J1875" s="2">
        <v>0</v>
      </c>
      <c r="K1875" s="2" t="s">
        <v>873</v>
      </c>
      <c r="AH1875" t="s">
        <v>359</v>
      </c>
    </row>
    <row r="1876" spans="1:34" ht="15.75">
      <c r="A1876" s="29">
        <f t="shared" si="29"/>
        <v>5426</v>
      </c>
      <c r="B1876" s="2">
        <v>677</v>
      </c>
      <c r="C1876" s="2">
        <v>9</v>
      </c>
      <c r="D1876" s="2">
        <v>1817</v>
      </c>
      <c r="E1876">
        <v>7531</v>
      </c>
      <c r="G1876" s="1"/>
      <c r="H1876" s="1" t="s">
        <v>1540</v>
      </c>
      <c r="I1876" s="2">
        <f>5098+328</f>
        <v>5426</v>
      </c>
      <c r="J1876" s="2">
        <v>0</v>
      </c>
      <c r="K1876" s="2" t="s">
        <v>873</v>
      </c>
      <c r="AH1876" t="s">
        <v>359</v>
      </c>
    </row>
    <row r="1877" spans="1:34" ht="15.75">
      <c r="A1877" s="29">
        <f t="shared" si="29"/>
        <v>206</v>
      </c>
      <c r="B1877" s="2">
        <v>677</v>
      </c>
      <c r="C1877" s="2">
        <v>9</v>
      </c>
      <c r="D1877" s="2">
        <v>1817</v>
      </c>
      <c r="E1877">
        <v>7532</v>
      </c>
      <c r="G1877" s="1"/>
      <c r="H1877" s="1" t="s">
        <v>1540</v>
      </c>
      <c r="I1877" s="2">
        <v>206</v>
      </c>
      <c r="J1877" s="2">
        <v>0</v>
      </c>
      <c r="K1877" s="2" t="s">
        <v>873</v>
      </c>
      <c r="AH1877" t="s">
        <v>359</v>
      </c>
    </row>
    <row r="1878" spans="1:34" ht="15.75">
      <c r="A1878" s="29">
        <f t="shared" si="29"/>
        <v>1191</v>
      </c>
      <c r="B1878" s="8">
        <v>677</v>
      </c>
      <c r="C1878" s="2">
        <v>9</v>
      </c>
      <c r="D1878" s="2">
        <v>1817</v>
      </c>
      <c r="E1878">
        <v>7534</v>
      </c>
      <c r="F1878" s="9"/>
      <c r="G1878" s="7"/>
      <c r="H1878" s="7" t="s">
        <v>1540</v>
      </c>
      <c r="I1878" s="8">
        <v>1191</v>
      </c>
      <c r="J1878" s="8">
        <v>0</v>
      </c>
      <c r="K1878" s="2" t="s">
        <v>873</v>
      </c>
      <c r="AH1878" t="s">
        <v>359</v>
      </c>
    </row>
    <row r="1879" spans="1:34" ht="15.75">
      <c r="A1879" s="29">
        <f t="shared" si="29"/>
        <v>85</v>
      </c>
      <c r="B1879" s="8">
        <v>677</v>
      </c>
      <c r="C1879" s="2">
        <v>9</v>
      </c>
      <c r="D1879" s="2">
        <v>1817</v>
      </c>
      <c r="E1879">
        <v>7535</v>
      </c>
      <c r="F1879" s="9"/>
      <c r="G1879" s="7"/>
      <c r="H1879" s="7" t="s">
        <v>1541</v>
      </c>
      <c r="I1879" s="8">
        <v>85</v>
      </c>
      <c r="J1879" s="8">
        <v>0</v>
      </c>
      <c r="K1879" s="2" t="s">
        <v>873</v>
      </c>
      <c r="AH1879" t="s">
        <v>359</v>
      </c>
    </row>
    <row r="1880" spans="1:34" ht="15.75">
      <c r="A1880" s="29">
        <f t="shared" si="29"/>
        <v>598</v>
      </c>
      <c r="B1880" s="8">
        <v>677</v>
      </c>
      <c r="C1880" s="2">
        <v>9</v>
      </c>
      <c r="D1880" s="2">
        <v>1817</v>
      </c>
      <c r="E1880">
        <v>7536</v>
      </c>
      <c r="F1880" s="9"/>
      <c r="G1880" s="7"/>
      <c r="H1880" s="7" t="s">
        <v>1540</v>
      </c>
      <c r="I1880" s="8">
        <v>598</v>
      </c>
      <c r="J1880" s="8">
        <v>0</v>
      </c>
      <c r="K1880" s="2" t="s">
        <v>873</v>
      </c>
      <c r="AH1880" t="s">
        <v>359</v>
      </c>
    </row>
    <row r="1881" spans="1:34" ht="15.75">
      <c r="A1881" s="29">
        <f t="shared" si="29"/>
        <v>125</v>
      </c>
      <c r="B1881" s="8">
        <v>678</v>
      </c>
      <c r="C1881" s="2">
        <v>9</v>
      </c>
      <c r="D1881" s="2">
        <v>1817</v>
      </c>
      <c r="E1881">
        <v>7564</v>
      </c>
      <c r="F1881" s="9"/>
      <c r="G1881" s="7"/>
      <c r="H1881" s="7" t="s">
        <v>1541</v>
      </c>
      <c r="I1881" s="8">
        <v>125</v>
      </c>
      <c r="J1881" s="8">
        <v>0</v>
      </c>
      <c r="K1881" s="8" t="s">
        <v>874</v>
      </c>
      <c r="L1881" s="43" t="s">
        <v>5772</v>
      </c>
      <c r="P1881" s="41">
        <v>22</v>
      </c>
      <c r="Q1881" s="41">
        <v>3</v>
      </c>
      <c r="R1881" s="41">
        <v>48</v>
      </c>
      <c r="S1881" t="s">
        <v>3321</v>
      </c>
      <c r="AH1881" t="s">
        <v>359</v>
      </c>
    </row>
    <row r="1882" spans="1:34" ht="15.75">
      <c r="A1882" s="29">
        <f t="shared" si="29"/>
        <v>96</v>
      </c>
      <c r="B1882" s="8">
        <v>678</v>
      </c>
      <c r="C1882" s="2">
        <v>9</v>
      </c>
      <c r="D1882" s="2">
        <v>1817</v>
      </c>
      <c r="E1882">
        <v>7565</v>
      </c>
      <c r="F1882" s="9"/>
      <c r="G1882" s="7"/>
      <c r="H1882" s="7" t="s">
        <v>1540</v>
      </c>
      <c r="I1882" s="8">
        <v>96</v>
      </c>
      <c r="J1882" s="8">
        <v>0</v>
      </c>
      <c r="K1882" s="8" t="s">
        <v>874</v>
      </c>
      <c r="L1882" s="43" t="s">
        <v>5772</v>
      </c>
      <c r="P1882" s="41">
        <v>24</v>
      </c>
      <c r="Q1882" s="41">
        <v>1</v>
      </c>
      <c r="R1882" s="41" t="s">
        <v>1547</v>
      </c>
      <c r="S1882" t="s">
        <v>3321</v>
      </c>
      <c r="AH1882" t="s">
        <v>359</v>
      </c>
    </row>
    <row r="1883" spans="1:34" ht="15.75">
      <c r="A1883" s="29">
        <f t="shared" si="29"/>
        <v>7720</v>
      </c>
      <c r="B1883" s="2">
        <v>678</v>
      </c>
      <c r="C1883" s="2">
        <v>9</v>
      </c>
      <c r="D1883" s="2">
        <v>1817</v>
      </c>
      <c r="E1883">
        <v>7567</v>
      </c>
      <c r="G1883" s="1"/>
      <c r="H1883" s="1" t="s">
        <v>1540</v>
      </c>
      <c r="I1883" s="2">
        <f>5452+268+2000</f>
        <v>7720</v>
      </c>
      <c r="J1883" s="2">
        <v>0</v>
      </c>
      <c r="K1883" s="8" t="s">
        <v>874</v>
      </c>
      <c r="L1883" s="43" t="s">
        <v>4244</v>
      </c>
      <c r="P1883" s="41">
        <v>3</v>
      </c>
      <c r="Q1883" s="41">
        <v>5</v>
      </c>
      <c r="R1883" s="41">
        <v>62</v>
      </c>
      <c r="S1883" t="s">
        <v>3343</v>
      </c>
      <c r="AH1883" t="s">
        <v>359</v>
      </c>
    </row>
    <row r="1884" spans="1:34" ht="15.75">
      <c r="A1884" s="29">
        <f t="shared" si="29"/>
        <v>145</v>
      </c>
      <c r="B1884" s="2">
        <v>678</v>
      </c>
      <c r="C1884" s="2">
        <v>9</v>
      </c>
      <c r="D1884" s="2">
        <v>1817</v>
      </c>
      <c r="E1884">
        <v>7568</v>
      </c>
      <c r="G1884" s="1"/>
      <c r="H1884" s="1" t="s">
        <v>1540</v>
      </c>
      <c r="I1884" s="2">
        <v>145</v>
      </c>
      <c r="J1884" s="2">
        <v>0</v>
      </c>
      <c r="K1884" s="8" t="s">
        <v>874</v>
      </c>
      <c r="L1884" s="43" t="s">
        <v>4247</v>
      </c>
      <c r="P1884" s="41">
        <v>13</v>
      </c>
      <c r="Q1884" s="41">
        <v>3</v>
      </c>
      <c r="R1884" s="41">
        <v>30</v>
      </c>
      <c r="S1884" t="s">
        <v>3321</v>
      </c>
      <c r="AH1884" t="s">
        <v>359</v>
      </c>
    </row>
    <row r="1885" spans="1:34" ht="15.75">
      <c r="A1885" s="29">
        <f t="shared" si="29"/>
        <v>0</v>
      </c>
      <c r="B1885" s="2">
        <v>678</v>
      </c>
      <c r="C1885" s="2">
        <v>9</v>
      </c>
      <c r="D1885" s="2">
        <v>1817</v>
      </c>
      <c r="E1885">
        <v>7569</v>
      </c>
      <c r="G1885" s="1"/>
      <c r="H1885" s="1" t="s">
        <v>850</v>
      </c>
      <c r="I1885" s="2">
        <v>0</v>
      </c>
      <c r="J1885" s="2">
        <v>0</v>
      </c>
      <c r="K1885" s="8" t="s">
        <v>4238</v>
      </c>
      <c r="L1885" s="43" t="s">
        <v>4239</v>
      </c>
      <c r="N1885" s="41" t="s">
        <v>3347</v>
      </c>
      <c r="P1885" s="41">
        <v>14</v>
      </c>
      <c r="Q1885" s="41">
        <v>6</v>
      </c>
      <c r="R1885" s="41">
        <v>0.08</v>
      </c>
      <c r="S1885" t="s">
        <v>3343</v>
      </c>
      <c r="V1885" t="s">
        <v>933</v>
      </c>
      <c r="AH1885" t="s">
        <v>359</v>
      </c>
    </row>
    <row r="1886" spans="1:34" ht="15.75">
      <c r="A1886" s="29">
        <f t="shared" si="29"/>
        <v>0</v>
      </c>
      <c r="B1886" s="2">
        <v>678</v>
      </c>
      <c r="C1886" s="2">
        <v>9</v>
      </c>
      <c r="D1886" s="2">
        <v>1817</v>
      </c>
      <c r="E1886">
        <v>7571</v>
      </c>
      <c r="G1886" s="1"/>
      <c r="H1886" s="1" t="s">
        <v>1549</v>
      </c>
      <c r="I1886" s="2">
        <v>0</v>
      </c>
      <c r="J1886" s="2">
        <v>0</v>
      </c>
      <c r="K1886" s="8" t="s">
        <v>874</v>
      </c>
      <c r="L1886" s="43" t="s">
        <v>4248</v>
      </c>
      <c r="P1886" s="41">
        <v>16</v>
      </c>
      <c r="Q1886" s="41">
        <v>1</v>
      </c>
      <c r="R1886" s="41">
        <v>41</v>
      </c>
      <c r="S1886" t="s">
        <v>3321</v>
      </c>
      <c r="V1886" t="s">
        <v>936</v>
      </c>
      <c r="AH1886" t="s">
        <v>359</v>
      </c>
    </row>
    <row r="1887" spans="1:34" ht="15.75">
      <c r="A1887" s="29">
        <f t="shared" si="29"/>
        <v>70</v>
      </c>
      <c r="B1887" s="2">
        <v>679</v>
      </c>
      <c r="C1887" s="2">
        <v>9</v>
      </c>
      <c r="D1887" s="2">
        <v>1817</v>
      </c>
      <c r="E1887">
        <v>7590</v>
      </c>
      <c r="G1887" s="1"/>
      <c r="H1887" s="1" t="s">
        <v>1541</v>
      </c>
      <c r="I1887" s="2">
        <v>70</v>
      </c>
      <c r="J1887" s="2">
        <v>0</v>
      </c>
      <c r="K1887" s="8" t="s">
        <v>874</v>
      </c>
      <c r="L1887" s="43" t="s">
        <v>4249</v>
      </c>
      <c r="P1887" s="41">
        <v>24</v>
      </c>
      <c r="Q1887" s="41">
        <v>2</v>
      </c>
      <c r="R1887" s="41">
        <v>59</v>
      </c>
      <c r="S1887" t="s">
        <v>3321</v>
      </c>
      <c r="AH1887" t="s">
        <v>359</v>
      </c>
    </row>
    <row r="1888" spans="1:34" ht="15.75">
      <c r="A1888" s="29">
        <f t="shared" si="29"/>
        <v>5545</v>
      </c>
      <c r="B1888" s="2">
        <v>679</v>
      </c>
      <c r="C1888" s="2">
        <v>9</v>
      </c>
      <c r="D1888" s="2">
        <v>1817</v>
      </c>
      <c r="E1888">
        <v>7591</v>
      </c>
      <c r="G1888" s="1"/>
      <c r="H1888" s="1" t="s">
        <v>1541</v>
      </c>
      <c r="I1888" s="2">
        <f>3052+2493</f>
        <v>5545</v>
      </c>
      <c r="J1888" s="2">
        <v>0</v>
      </c>
      <c r="K1888" s="8" t="s">
        <v>874</v>
      </c>
      <c r="L1888" s="43" t="s">
        <v>4249</v>
      </c>
      <c r="P1888" s="41">
        <v>18</v>
      </c>
      <c r="Q1888" s="41">
        <v>11</v>
      </c>
      <c r="R1888" s="41">
        <v>70</v>
      </c>
      <c r="S1888" t="s">
        <v>3329</v>
      </c>
      <c r="AH1888" t="s">
        <v>359</v>
      </c>
    </row>
    <row r="1889" spans="1:34" ht="15.75">
      <c r="A1889" s="29">
        <f t="shared" si="29"/>
        <v>1633</v>
      </c>
      <c r="B1889" s="2">
        <v>679</v>
      </c>
      <c r="C1889" s="2">
        <v>9</v>
      </c>
      <c r="D1889" s="2">
        <v>1817</v>
      </c>
      <c r="E1889">
        <v>7592</v>
      </c>
      <c r="G1889" s="1"/>
      <c r="H1889" s="1" t="s">
        <v>1541</v>
      </c>
      <c r="I1889" s="2">
        <v>1633</v>
      </c>
      <c r="J1889" s="2">
        <v>0</v>
      </c>
      <c r="K1889" s="8" t="s">
        <v>874</v>
      </c>
      <c r="L1889" s="43" t="s">
        <v>1393</v>
      </c>
      <c r="P1889" s="41">
        <v>11</v>
      </c>
      <c r="Q1889" s="41">
        <v>8</v>
      </c>
      <c r="R1889" s="41">
        <v>40</v>
      </c>
      <c r="S1889" t="s">
        <v>3321</v>
      </c>
      <c r="AH1889" t="s">
        <v>359</v>
      </c>
    </row>
    <row r="1890" spans="1:34" ht="15.75">
      <c r="A1890" s="29">
        <f t="shared" si="29"/>
        <v>244</v>
      </c>
      <c r="B1890" s="2">
        <v>679</v>
      </c>
      <c r="C1890" s="2">
        <v>9</v>
      </c>
      <c r="D1890" s="2">
        <v>1817</v>
      </c>
      <c r="E1890">
        <v>7593</v>
      </c>
      <c r="G1890" s="1"/>
      <c r="H1890" s="1" t="s">
        <v>1540</v>
      </c>
      <c r="I1890" s="2">
        <v>244</v>
      </c>
      <c r="J1890" s="2">
        <v>0</v>
      </c>
      <c r="K1890" s="8" t="s">
        <v>874</v>
      </c>
      <c r="L1890" s="43" t="s">
        <v>1393</v>
      </c>
      <c r="P1890" s="41">
        <v>24</v>
      </c>
      <c r="Q1890" s="41">
        <v>12</v>
      </c>
      <c r="R1890" s="41">
        <v>78</v>
      </c>
      <c r="S1890" t="s">
        <v>3321</v>
      </c>
      <c r="AH1890" t="s">
        <v>359</v>
      </c>
    </row>
    <row r="1891" spans="1:34" ht="15.75">
      <c r="A1891" s="29">
        <f t="shared" si="29"/>
        <v>2026</v>
      </c>
      <c r="B1891" s="2">
        <v>679</v>
      </c>
      <c r="C1891" s="2">
        <v>9</v>
      </c>
      <c r="D1891" s="2">
        <v>1817</v>
      </c>
      <c r="E1891">
        <v>7594</v>
      </c>
      <c r="G1891" s="1"/>
      <c r="H1891" s="1" t="s">
        <v>1541</v>
      </c>
      <c r="I1891" s="2">
        <f>1141+885</f>
        <v>2026</v>
      </c>
      <c r="J1891" s="2">
        <v>0</v>
      </c>
      <c r="K1891" s="8" t="s">
        <v>874</v>
      </c>
      <c r="L1891" s="43" t="s">
        <v>5795</v>
      </c>
      <c r="P1891" s="41">
        <v>25</v>
      </c>
      <c r="Q1891" s="41">
        <v>6</v>
      </c>
      <c r="R1891" s="41" t="s">
        <v>1547</v>
      </c>
      <c r="S1891" t="s">
        <v>3321</v>
      </c>
      <c r="AH1891" t="s">
        <v>359</v>
      </c>
    </row>
    <row r="1892" spans="1:34" ht="15.75">
      <c r="A1892" s="29">
        <f t="shared" si="29"/>
        <v>718</v>
      </c>
      <c r="B1892" s="2">
        <v>679</v>
      </c>
      <c r="C1892" s="2">
        <v>9</v>
      </c>
      <c r="D1892" s="2">
        <v>1817</v>
      </c>
      <c r="E1892">
        <v>7595</v>
      </c>
      <c r="G1892" s="1"/>
      <c r="H1892" s="1" t="s">
        <v>1540</v>
      </c>
      <c r="I1892" s="2">
        <v>718</v>
      </c>
      <c r="J1892" s="2">
        <v>0</v>
      </c>
      <c r="K1892" s="8" t="s">
        <v>874</v>
      </c>
      <c r="L1892" s="43" t="s">
        <v>5795</v>
      </c>
      <c r="P1892" s="41">
        <v>13</v>
      </c>
      <c r="Q1892" s="41">
        <v>2</v>
      </c>
      <c r="R1892" s="41">
        <v>19</v>
      </c>
      <c r="S1892" t="s">
        <v>3343</v>
      </c>
      <c r="AH1892" t="s">
        <v>359</v>
      </c>
    </row>
    <row r="1893" spans="1:34" ht="15.75">
      <c r="A1893" s="29">
        <f t="shared" si="29"/>
        <v>117</v>
      </c>
      <c r="B1893" s="8">
        <v>679</v>
      </c>
      <c r="C1893" s="2">
        <v>9</v>
      </c>
      <c r="D1893" s="2">
        <v>1817</v>
      </c>
      <c r="E1893">
        <v>7596</v>
      </c>
      <c r="F1893" s="9"/>
      <c r="G1893" s="7"/>
      <c r="H1893" s="7" t="s">
        <v>1540</v>
      </c>
      <c r="I1893" s="8">
        <v>117</v>
      </c>
      <c r="J1893" s="8">
        <v>0</v>
      </c>
      <c r="K1893" s="8" t="s">
        <v>874</v>
      </c>
      <c r="L1893" s="43" t="s">
        <v>5796</v>
      </c>
      <c r="P1893" s="41">
        <v>9</v>
      </c>
      <c r="Q1893" s="41">
        <v>4</v>
      </c>
      <c r="R1893" s="41">
        <v>58</v>
      </c>
      <c r="S1893" t="s">
        <v>3321</v>
      </c>
      <c r="AH1893" t="s">
        <v>359</v>
      </c>
    </row>
    <row r="1894" spans="1:34" ht="15.75">
      <c r="A1894" s="29">
        <f t="shared" si="29"/>
        <v>13168</v>
      </c>
      <c r="B1894" s="8">
        <v>679</v>
      </c>
      <c r="C1894" s="2">
        <v>9</v>
      </c>
      <c r="D1894" s="2">
        <v>1817</v>
      </c>
      <c r="E1894">
        <v>7598</v>
      </c>
      <c r="F1894" s="9"/>
      <c r="G1894" s="7"/>
      <c r="H1894" s="7" t="s">
        <v>1540</v>
      </c>
      <c r="I1894" s="8">
        <v>2168</v>
      </c>
      <c r="J1894" s="8">
        <v>550</v>
      </c>
      <c r="K1894" s="8" t="s">
        <v>874</v>
      </c>
      <c r="L1894" s="43" t="s">
        <v>942</v>
      </c>
      <c r="P1894" s="41">
        <v>17</v>
      </c>
      <c r="Q1894" s="41">
        <v>10</v>
      </c>
      <c r="R1894" s="41">
        <v>53</v>
      </c>
      <c r="S1894" t="s">
        <v>3321</v>
      </c>
      <c r="X1894">
        <v>1</v>
      </c>
      <c r="Y1894" t="s">
        <v>943</v>
      </c>
      <c r="AH1894" t="s">
        <v>359</v>
      </c>
    </row>
    <row r="1895" spans="1:34" ht="15.75">
      <c r="A1895" s="29">
        <f t="shared" si="29"/>
        <v>640</v>
      </c>
      <c r="B1895" s="8">
        <v>679</v>
      </c>
      <c r="C1895" s="2">
        <v>9</v>
      </c>
      <c r="D1895" s="2">
        <v>1817</v>
      </c>
      <c r="E1895">
        <v>7599</v>
      </c>
      <c r="F1895" s="9"/>
      <c r="G1895" s="7"/>
      <c r="H1895" s="7" t="s">
        <v>1540</v>
      </c>
      <c r="I1895" s="8">
        <v>640</v>
      </c>
      <c r="J1895" s="8">
        <v>0</v>
      </c>
      <c r="K1895" s="8" t="s">
        <v>874</v>
      </c>
      <c r="L1895" s="43" t="s">
        <v>5801</v>
      </c>
      <c r="P1895" s="41">
        <v>16</v>
      </c>
      <c r="Q1895" s="41">
        <v>12</v>
      </c>
      <c r="R1895" s="41">
        <v>53</v>
      </c>
      <c r="S1895" t="s">
        <v>3321</v>
      </c>
      <c r="AH1895" t="s">
        <v>359</v>
      </c>
    </row>
    <row r="1896" spans="1:34" ht="15.75">
      <c r="A1896" s="29">
        <f t="shared" si="29"/>
        <v>2291</v>
      </c>
      <c r="B1896" s="8">
        <v>679</v>
      </c>
      <c r="C1896" s="2">
        <v>9</v>
      </c>
      <c r="D1896" s="2">
        <v>1817</v>
      </c>
      <c r="E1896">
        <v>7600</v>
      </c>
      <c r="F1896" s="9"/>
      <c r="G1896" s="7"/>
      <c r="H1896" s="7" t="s">
        <v>1541</v>
      </c>
      <c r="I1896" s="8">
        <f>346+445+1500</f>
        <v>2291</v>
      </c>
      <c r="J1896" s="8">
        <v>0</v>
      </c>
      <c r="K1896" s="8" t="s">
        <v>874</v>
      </c>
      <c r="L1896" s="43" t="s">
        <v>1360</v>
      </c>
      <c r="P1896" s="41">
        <v>18</v>
      </c>
      <c r="Q1896" s="41">
        <v>7</v>
      </c>
      <c r="R1896" s="41">
        <v>44</v>
      </c>
      <c r="S1896" t="s">
        <v>3321</v>
      </c>
      <c r="AH1896" t="s">
        <v>359</v>
      </c>
    </row>
    <row r="1897" spans="1:34" ht="15.75">
      <c r="A1897" s="29">
        <f t="shared" si="29"/>
        <v>300</v>
      </c>
      <c r="B1897" s="2">
        <v>679</v>
      </c>
      <c r="C1897" s="2">
        <v>9</v>
      </c>
      <c r="D1897" s="2">
        <v>1817</v>
      </c>
      <c r="E1897">
        <v>7602</v>
      </c>
      <c r="G1897" s="1"/>
      <c r="H1897" s="1" t="s">
        <v>1540</v>
      </c>
      <c r="I1897" s="2">
        <v>300</v>
      </c>
      <c r="J1897" s="2">
        <v>0</v>
      </c>
      <c r="K1897" s="8" t="s">
        <v>874</v>
      </c>
      <c r="L1897" s="43" t="s">
        <v>949</v>
      </c>
      <c r="P1897" s="41">
        <v>5</v>
      </c>
      <c r="Q1897" s="41">
        <v>11</v>
      </c>
      <c r="R1897" s="41">
        <v>65</v>
      </c>
      <c r="S1897" t="s">
        <v>3329</v>
      </c>
      <c r="AH1897" t="s">
        <v>359</v>
      </c>
    </row>
    <row r="1898" spans="1:34" ht="15.75">
      <c r="A1898" s="29">
        <f t="shared" si="29"/>
        <v>2370</v>
      </c>
      <c r="B1898" s="2">
        <v>680</v>
      </c>
      <c r="C1898" s="2">
        <v>9</v>
      </c>
      <c r="D1898" s="2">
        <v>1817</v>
      </c>
      <c r="E1898">
        <v>7636</v>
      </c>
      <c r="G1898" s="1"/>
      <c r="H1898" s="1" t="s">
        <v>1541</v>
      </c>
      <c r="I1898" s="2">
        <v>2370</v>
      </c>
      <c r="J1898" s="2">
        <v>0</v>
      </c>
      <c r="K1898" s="8" t="s">
        <v>874</v>
      </c>
      <c r="L1898" s="43" t="s">
        <v>950</v>
      </c>
      <c r="P1898" s="41">
        <v>15</v>
      </c>
      <c r="Q1898" s="41">
        <v>7</v>
      </c>
      <c r="R1898" s="41" t="s">
        <v>1547</v>
      </c>
      <c r="S1898" t="s">
        <v>3321</v>
      </c>
      <c r="AH1898" t="s">
        <v>359</v>
      </c>
    </row>
    <row r="1899" spans="1:34" ht="15.75">
      <c r="A1899" s="29">
        <f t="shared" si="29"/>
        <v>70537</v>
      </c>
      <c r="B1899" s="8">
        <v>680</v>
      </c>
      <c r="C1899" s="2">
        <v>9</v>
      </c>
      <c r="D1899" s="2">
        <v>1817</v>
      </c>
      <c r="E1899">
        <v>7637</v>
      </c>
      <c r="F1899" s="9"/>
      <c r="G1899" s="7"/>
      <c r="H1899" s="7" t="s">
        <v>1540</v>
      </c>
      <c r="I1899" s="8">
        <v>2537</v>
      </c>
      <c r="J1899" s="8">
        <v>3400</v>
      </c>
      <c r="K1899" s="8" t="s">
        <v>874</v>
      </c>
      <c r="L1899" s="43" t="s">
        <v>951</v>
      </c>
      <c r="M1899" s="41" t="s">
        <v>952</v>
      </c>
      <c r="N1899" s="41" t="s">
        <v>1551</v>
      </c>
      <c r="O1899" s="41" t="s">
        <v>953</v>
      </c>
      <c r="P1899" s="41">
        <v>22</v>
      </c>
      <c r="Q1899" s="41">
        <v>9</v>
      </c>
      <c r="R1899" s="41">
        <v>53</v>
      </c>
      <c r="S1899" t="s">
        <v>3343</v>
      </c>
      <c r="T1899" t="s">
        <v>954</v>
      </c>
      <c r="V1899" t="s">
        <v>2421</v>
      </c>
      <c r="X1899">
        <v>1</v>
      </c>
      <c r="Y1899" t="s">
        <v>955</v>
      </c>
      <c r="AH1899" t="s">
        <v>359</v>
      </c>
    </row>
    <row r="1900" spans="1:34" ht="15.75">
      <c r="A1900" s="29">
        <f t="shared" si="29"/>
        <v>230</v>
      </c>
      <c r="B1900" s="2">
        <v>680</v>
      </c>
      <c r="C1900" s="2">
        <v>9</v>
      </c>
      <c r="D1900" s="2">
        <v>1817</v>
      </c>
      <c r="E1900">
        <v>7638</v>
      </c>
      <c r="G1900" s="1"/>
      <c r="H1900" s="1" t="s">
        <v>1541</v>
      </c>
      <c r="I1900" s="2">
        <v>230</v>
      </c>
      <c r="J1900" s="2">
        <v>0</v>
      </c>
      <c r="K1900" s="8" t="s">
        <v>874</v>
      </c>
      <c r="L1900" s="43" t="s">
        <v>1358</v>
      </c>
      <c r="P1900" s="41">
        <v>6</v>
      </c>
      <c r="Q1900" s="41">
        <v>6</v>
      </c>
      <c r="R1900" s="41" t="s">
        <v>1547</v>
      </c>
      <c r="S1900" t="s">
        <v>3343</v>
      </c>
      <c r="AH1900" t="s">
        <v>359</v>
      </c>
    </row>
    <row r="1901" spans="1:34" ht="15.75">
      <c r="A1901" s="29">
        <f t="shared" si="29"/>
        <v>1930</v>
      </c>
      <c r="B1901" s="2">
        <v>680</v>
      </c>
      <c r="C1901" s="2">
        <v>9</v>
      </c>
      <c r="D1901" s="2">
        <v>1817</v>
      </c>
      <c r="E1901">
        <v>7639</v>
      </c>
      <c r="G1901" s="1"/>
      <c r="H1901" s="1" t="s">
        <v>1541</v>
      </c>
      <c r="I1901" s="2">
        <v>1930</v>
      </c>
      <c r="J1901" s="2">
        <v>0</v>
      </c>
      <c r="K1901" s="8" t="s">
        <v>874</v>
      </c>
      <c r="L1901" s="43" t="s">
        <v>956</v>
      </c>
      <c r="P1901" s="41">
        <v>1</v>
      </c>
      <c r="Q1901" s="41">
        <v>6</v>
      </c>
      <c r="R1901" s="41">
        <v>32</v>
      </c>
      <c r="S1901" t="s">
        <v>3343</v>
      </c>
      <c r="AH1901" t="s">
        <v>359</v>
      </c>
    </row>
    <row r="1902" spans="1:34" ht="15.75">
      <c r="A1902" s="29">
        <f t="shared" si="29"/>
        <v>19</v>
      </c>
      <c r="B1902" s="2">
        <v>428</v>
      </c>
      <c r="C1902" s="2">
        <v>8</v>
      </c>
      <c r="D1902" s="2">
        <v>1817</v>
      </c>
      <c r="E1902">
        <v>7650</v>
      </c>
      <c r="H1902" t="s">
        <v>1540</v>
      </c>
      <c r="I1902" s="2">
        <v>19</v>
      </c>
      <c r="J1902" s="2">
        <v>0</v>
      </c>
      <c r="K1902" s="2" t="s">
        <v>862</v>
      </c>
      <c r="L1902" s="43" t="s">
        <v>975</v>
      </c>
      <c r="P1902" s="41">
        <v>17</v>
      </c>
      <c r="Q1902" s="41">
        <v>2</v>
      </c>
      <c r="R1902" s="41">
        <v>34</v>
      </c>
      <c r="S1902" t="s">
        <v>3321</v>
      </c>
      <c r="AH1902" t="s">
        <v>359</v>
      </c>
    </row>
    <row r="1903" spans="1:34" ht="15.75">
      <c r="A1903" s="29">
        <f t="shared" si="29"/>
        <v>75</v>
      </c>
      <c r="B1903" s="2">
        <v>428</v>
      </c>
      <c r="C1903" s="2">
        <v>8</v>
      </c>
      <c r="D1903" s="2">
        <v>1817</v>
      </c>
      <c r="E1903">
        <v>7651</v>
      </c>
      <c r="H1903" t="s">
        <v>1541</v>
      </c>
      <c r="I1903" s="2">
        <v>75</v>
      </c>
      <c r="J1903" s="2">
        <v>0</v>
      </c>
      <c r="K1903" s="2" t="s">
        <v>862</v>
      </c>
      <c r="L1903" s="43" t="s">
        <v>975</v>
      </c>
      <c r="P1903" s="41">
        <v>26</v>
      </c>
      <c r="Q1903" s="41">
        <v>9</v>
      </c>
      <c r="R1903" s="41">
        <v>50</v>
      </c>
      <c r="S1903" t="s">
        <v>3343</v>
      </c>
      <c r="AH1903" t="s">
        <v>359</v>
      </c>
    </row>
    <row r="1904" spans="1:34" ht="15.75">
      <c r="A1904" s="29">
        <f t="shared" si="29"/>
        <v>716</v>
      </c>
      <c r="B1904" s="2">
        <v>428</v>
      </c>
      <c r="C1904" s="2">
        <v>8</v>
      </c>
      <c r="D1904" s="2">
        <v>1817</v>
      </c>
      <c r="E1904">
        <v>7652</v>
      </c>
      <c r="H1904" t="s">
        <v>1540</v>
      </c>
      <c r="I1904" s="2">
        <v>716</v>
      </c>
      <c r="J1904" s="2">
        <v>0</v>
      </c>
      <c r="K1904" s="2" t="s">
        <v>862</v>
      </c>
      <c r="L1904" s="43" t="s">
        <v>976</v>
      </c>
      <c r="P1904" s="41">
        <v>3</v>
      </c>
      <c r="Q1904" s="41">
        <v>4</v>
      </c>
      <c r="R1904" s="41">
        <v>77</v>
      </c>
      <c r="S1904" t="s">
        <v>3329</v>
      </c>
      <c r="AH1904" t="s">
        <v>359</v>
      </c>
    </row>
    <row r="1905" spans="1:34" ht="15.75">
      <c r="A1905" s="29">
        <f t="shared" si="29"/>
        <v>71862</v>
      </c>
      <c r="B1905" s="2">
        <v>428</v>
      </c>
      <c r="C1905" s="2">
        <v>8</v>
      </c>
      <c r="D1905" s="2">
        <v>1817</v>
      </c>
      <c r="E1905">
        <v>7653</v>
      </c>
      <c r="H1905" t="s">
        <v>1541</v>
      </c>
      <c r="I1905" s="2">
        <v>71862</v>
      </c>
      <c r="J1905" s="2">
        <v>0</v>
      </c>
      <c r="K1905" s="2" t="s">
        <v>862</v>
      </c>
      <c r="L1905" s="43" t="s">
        <v>2711</v>
      </c>
      <c r="M1905" s="41" t="s">
        <v>2712</v>
      </c>
      <c r="O1905" s="41" t="s">
        <v>2713</v>
      </c>
      <c r="P1905" s="41">
        <v>10</v>
      </c>
      <c r="Q1905" s="41">
        <v>3</v>
      </c>
      <c r="R1905" s="41">
        <v>48</v>
      </c>
      <c r="S1905" t="s">
        <v>2714</v>
      </c>
      <c r="T1905" t="s">
        <v>2715</v>
      </c>
      <c r="V1905" t="s">
        <v>2716</v>
      </c>
      <c r="AH1905" t="s">
        <v>359</v>
      </c>
    </row>
    <row r="1906" spans="1:34" ht="15.75">
      <c r="A1906" s="29">
        <f t="shared" si="29"/>
        <v>36070</v>
      </c>
      <c r="B1906" s="2">
        <v>428</v>
      </c>
      <c r="C1906" s="2">
        <v>8</v>
      </c>
      <c r="D1906" s="2">
        <v>1817</v>
      </c>
      <c r="E1906">
        <v>7654</v>
      </c>
      <c r="H1906" t="s">
        <v>1540</v>
      </c>
      <c r="I1906" s="2">
        <v>6070</v>
      </c>
      <c r="J1906" s="2">
        <v>3000</v>
      </c>
      <c r="K1906" s="2" t="s">
        <v>862</v>
      </c>
      <c r="L1906" s="43" t="s">
        <v>2717</v>
      </c>
      <c r="M1906" s="41" t="s">
        <v>1543</v>
      </c>
      <c r="N1906" s="41" t="s">
        <v>1551</v>
      </c>
      <c r="O1906" s="41" t="s">
        <v>2718</v>
      </c>
      <c r="P1906" s="41">
        <v>3</v>
      </c>
      <c r="Q1906" s="41">
        <v>5</v>
      </c>
      <c r="R1906" s="41">
        <v>80</v>
      </c>
      <c r="S1906" t="s">
        <v>2719</v>
      </c>
      <c r="T1906" t="s">
        <v>4329</v>
      </c>
      <c r="V1906" t="s">
        <v>2720</v>
      </c>
      <c r="X1906">
        <v>0.5</v>
      </c>
      <c r="Y1906" t="s">
        <v>2718</v>
      </c>
      <c r="AH1906" t="s">
        <v>359</v>
      </c>
    </row>
    <row r="1907" spans="1:34" ht="15.75">
      <c r="A1907" s="29">
        <f t="shared" si="29"/>
        <v>28886</v>
      </c>
      <c r="B1907" s="8">
        <v>428</v>
      </c>
      <c r="C1907" s="8">
        <v>8</v>
      </c>
      <c r="D1907" s="8">
        <v>1817</v>
      </c>
      <c r="E1907">
        <v>7655</v>
      </c>
      <c r="F1907" s="9"/>
      <c r="G1907" s="9"/>
      <c r="H1907" s="9" t="s">
        <v>1540</v>
      </c>
      <c r="I1907" s="8">
        <v>1886</v>
      </c>
      <c r="J1907" s="8">
        <v>1350</v>
      </c>
      <c r="K1907" s="2" t="s">
        <v>862</v>
      </c>
      <c r="L1907" s="43" t="s">
        <v>4940</v>
      </c>
      <c r="M1907" s="41" t="s">
        <v>5316</v>
      </c>
      <c r="N1907" s="43" t="s">
        <v>2721</v>
      </c>
      <c r="O1907" s="43" t="s">
        <v>4061</v>
      </c>
      <c r="P1907" s="43">
        <v>1</v>
      </c>
      <c r="Q1907" s="43">
        <v>9</v>
      </c>
      <c r="R1907" s="43">
        <v>86</v>
      </c>
      <c r="S1907" s="9" t="s">
        <v>4062</v>
      </c>
      <c r="T1907" s="9" t="s">
        <v>4063</v>
      </c>
      <c r="V1907" s="9" t="s">
        <v>5069</v>
      </c>
      <c r="W1907" s="9"/>
      <c r="X1907" s="9">
        <v>1</v>
      </c>
      <c r="Y1907" s="9" t="s">
        <v>4061</v>
      </c>
      <c r="Z1907" s="9"/>
      <c r="AA1907" s="9"/>
      <c r="AB1907" s="9"/>
      <c r="AC1907" s="9"/>
      <c r="AD1907" s="9"/>
      <c r="AE1907" s="9"/>
      <c r="AF1907" s="9"/>
      <c r="AG1907" s="9"/>
      <c r="AH1907" t="s">
        <v>359</v>
      </c>
    </row>
    <row r="1908" spans="1:34" ht="15.75">
      <c r="A1908" s="29">
        <f t="shared" si="29"/>
        <v>20</v>
      </c>
      <c r="B1908" s="2">
        <v>428</v>
      </c>
      <c r="C1908" s="2">
        <v>8</v>
      </c>
      <c r="D1908" s="2">
        <v>1817</v>
      </c>
      <c r="E1908">
        <v>7656</v>
      </c>
      <c r="H1908" t="s">
        <v>1541</v>
      </c>
      <c r="I1908" s="2">
        <v>20</v>
      </c>
      <c r="J1908" s="2">
        <v>0</v>
      </c>
      <c r="K1908" s="2" t="s">
        <v>862</v>
      </c>
      <c r="L1908" s="43" t="s">
        <v>4064</v>
      </c>
      <c r="P1908" s="43">
        <v>8</v>
      </c>
      <c r="Q1908" s="43">
        <v>5</v>
      </c>
      <c r="R1908" s="43">
        <v>70</v>
      </c>
      <c r="S1908" t="s">
        <v>3321</v>
      </c>
      <c r="AH1908" t="s">
        <v>359</v>
      </c>
    </row>
    <row r="1909" spans="1:34" ht="15.75">
      <c r="A1909" s="29">
        <f t="shared" si="29"/>
        <v>53435</v>
      </c>
      <c r="B1909" s="8">
        <v>429</v>
      </c>
      <c r="C1909" s="8">
        <v>8</v>
      </c>
      <c r="D1909" s="8">
        <v>1817</v>
      </c>
      <c r="E1909">
        <v>7671</v>
      </c>
      <c r="F1909" s="9"/>
      <c r="G1909" s="9"/>
      <c r="H1909" s="9" t="s">
        <v>1540</v>
      </c>
      <c r="I1909" s="8">
        <v>15000</v>
      </c>
      <c r="J1909" s="8">
        <f>6150+1537</f>
        <v>7687</v>
      </c>
      <c r="K1909" s="8" t="s">
        <v>862</v>
      </c>
      <c r="L1909" s="43" t="s">
        <v>4065</v>
      </c>
      <c r="M1909" s="43" t="s">
        <v>4066</v>
      </c>
      <c r="N1909" s="43" t="s">
        <v>4067</v>
      </c>
      <c r="O1909" s="43" t="s">
        <v>4068</v>
      </c>
      <c r="P1909" s="43">
        <v>9</v>
      </c>
      <c r="Q1909" s="43">
        <v>5</v>
      </c>
      <c r="R1909" s="43">
        <v>15</v>
      </c>
      <c r="S1909" s="9" t="s">
        <v>4069</v>
      </c>
      <c r="T1909" s="9" t="s">
        <v>4070</v>
      </c>
      <c r="V1909" s="9" t="s">
        <v>4071</v>
      </c>
      <c r="W1909" s="9"/>
      <c r="X1909" s="9">
        <v>0.25</v>
      </c>
      <c r="Y1909" s="9" t="s">
        <v>4072</v>
      </c>
      <c r="Z1909" s="9"/>
      <c r="AA1909" s="9"/>
      <c r="AB1909" s="9"/>
      <c r="AC1909" s="9"/>
      <c r="AD1909" s="9"/>
      <c r="AE1909" s="9"/>
      <c r="AF1909" s="9"/>
      <c r="AG1909" s="9"/>
      <c r="AH1909" t="s">
        <v>359</v>
      </c>
    </row>
    <row r="1910" spans="1:34" ht="15.75">
      <c r="A1910" s="29">
        <f t="shared" si="29"/>
        <v>84</v>
      </c>
      <c r="B1910" s="2">
        <v>429</v>
      </c>
      <c r="C1910" s="2">
        <v>8</v>
      </c>
      <c r="D1910" s="2">
        <v>1817</v>
      </c>
      <c r="E1910">
        <v>7672</v>
      </c>
      <c r="H1910" t="s">
        <v>1540</v>
      </c>
      <c r="I1910" s="2">
        <v>84</v>
      </c>
      <c r="J1910" s="2">
        <v>0</v>
      </c>
      <c r="K1910" s="2" t="s">
        <v>862</v>
      </c>
      <c r="L1910" s="43" t="s">
        <v>4073</v>
      </c>
      <c r="P1910" s="41">
        <v>26</v>
      </c>
      <c r="Q1910" s="41">
        <v>6</v>
      </c>
      <c r="R1910" s="41">
        <v>83</v>
      </c>
      <c r="S1910" t="s">
        <v>3324</v>
      </c>
      <c r="AH1910" t="s">
        <v>359</v>
      </c>
    </row>
    <row r="1911" spans="1:34" ht="15.75">
      <c r="A1911" s="29">
        <f t="shared" si="29"/>
        <v>154</v>
      </c>
      <c r="B1911" s="2">
        <v>429</v>
      </c>
      <c r="C1911" s="2">
        <v>8</v>
      </c>
      <c r="D1911" s="2">
        <v>1817</v>
      </c>
      <c r="E1911">
        <v>7674</v>
      </c>
      <c r="H1911" t="s">
        <v>1541</v>
      </c>
      <c r="I1911" s="2">
        <v>154</v>
      </c>
      <c r="J1911" s="2">
        <v>0</v>
      </c>
      <c r="K1911" s="2" t="s">
        <v>862</v>
      </c>
      <c r="L1911" s="43" t="s">
        <v>5827</v>
      </c>
      <c r="P1911" s="41">
        <v>23</v>
      </c>
      <c r="Q1911" s="41">
        <v>7</v>
      </c>
      <c r="R1911" s="41">
        <v>44</v>
      </c>
      <c r="S1911" t="s">
        <v>3321</v>
      </c>
      <c r="AH1911" t="s">
        <v>359</v>
      </c>
    </row>
    <row r="1912" spans="1:34" ht="15.75">
      <c r="A1912" s="29">
        <f t="shared" si="29"/>
        <v>97</v>
      </c>
      <c r="B1912" s="2">
        <v>429</v>
      </c>
      <c r="C1912" s="2">
        <v>8</v>
      </c>
      <c r="D1912" s="2">
        <v>1817</v>
      </c>
      <c r="E1912">
        <v>7675</v>
      </c>
      <c r="H1912" t="s">
        <v>850</v>
      </c>
      <c r="I1912" s="2">
        <v>97</v>
      </c>
      <c r="J1912" s="2"/>
      <c r="K1912" s="2" t="s">
        <v>862</v>
      </c>
      <c r="L1912" s="43" t="s">
        <v>980</v>
      </c>
      <c r="P1912" s="41">
        <v>19</v>
      </c>
      <c r="Q1912" s="41">
        <v>3</v>
      </c>
      <c r="R1912" s="41">
        <v>51</v>
      </c>
      <c r="S1912" t="s">
        <v>3321</v>
      </c>
      <c r="AH1912" t="s">
        <v>359</v>
      </c>
    </row>
    <row r="1913" spans="1:34" ht="15.75">
      <c r="A1913" s="29">
        <f t="shared" si="29"/>
        <v>14000</v>
      </c>
      <c r="B1913" s="2">
        <v>429</v>
      </c>
      <c r="C1913" s="2">
        <v>8</v>
      </c>
      <c r="D1913" s="2">
        <v>1817</v>
      </c>
      <c r="E1913">
        <v>7676</v>
      </c>
      <c r="H1913" t="s">
        <v>1540</v>
      </c>
      <c r="I1913" s="2">
        <v>14000</v>
      </c>
      <c r="J1913" s="2">
        <v>0</v>
      </c>
      <c r="K1913" s="2" t="s">
        <v>862</v>
      </c>
      <c r="L1913" s="43" t="s">
        <v>980</v>
      </c>
      <c r="P1913" s="41">
        <v>18</v>
      </c>
      <c r="Q1913" s="41">
        <v>10</v>
      </c>
      <c r="R1913" s="41">
        <v>16</v>
      </c>
      <c r="S1913" t="s">
        <v>884</v>
      </c>
      <c r="AH1913" t="s">
        <v>359</v>
      </c>
    </row>
    <row r="1914" spans="1:34" ht="15.75">
      <c r="A1914" s="29">
        <f t="shared" si="29"/>
        <v>150123</v>
      </c>
      <c r="B1914" s="2">
        <v>429</v>
      </c>
      <c r="C1914" s="2">
        <v>8</v>
      </c>
      <c r="D1914" s="2">
        <v>1817</v>
      </c>
      <c r="E1914">
        <v>7677</v>
      </c>
      <c r="H1914" t="s">
        <v>1541</v>
      </c>
      <c r="I1914" s="2">
        <v>150123</v>
      </c>
      <c r="J1914" s="2">
        <v>0</v>
      </c>
      <c r="K1914" s="2" t="s">
        <v>862</v>
      </c>
      <c r="L1914" s="43" t="s">
        <v>4081</v>
      </c>
      <c r="M1914" s="41" t="s">
        <v>4082</v>
      </c>
      <c r="O1914" s="41" t="s">
        <v>4083</v>
      </c>
      <c r="P1914" s="41">
        <v>12</v>
      </c>
      <c r="Q1914" s="41">
        <v>3</v>
      </c>
      <c r="R1914" s="41">
        <v>61</v>
      </c>
      <c r="S1914" t="s">
        <v>4084</v>
      </c>
      <c r="T1914" t="s">
        <v>4085</v>
      </c>
      <c r="V1914" t="s">
        <v>4086</v>
      </c>
      <c r="AH1914" t="s">
        <v>359</v>
      </c>
    </row>
    <row r="1915" spans="1:34" ht="15.75">
      <c r="A1915" s="29">
        <f t="shared" si="29"/>
        <v>143</v>
      </c>
      <c r="B1915" s="2">
        <v>429</v>
      </c>
      <c r="C1915" s="2">
        <v>8</v>
      </c>
      <c r="D1915" s="2">
        <v>1817</v>
      </c>
      <c r="E1915">
        <v>7678</v>
      </c>
      <c r="H1915" t="s">
        <v>1540</v>
      </c>
      <c r="I1915" s="2">
        <v>143</v>
      </c>
      <c r="J1915" s="2">
        <v>0</v>
      </c>
      <c r="K1915" s="2" t="s">
        <v>862</v>
      </c>
      <c r="L1915" s="43" t="s">
        <v>1363</v>
      </c>
      <c r="P1915" s="41">
        <v>21</v>
      </c>
      <c r="Q1915" s="41">
        <v>7</v>
      </c>
      <c r="R1915" s="41">
        <v>37</v>
      </c>
      <c r="S1915" t="s">
        <v>3321</v>
      </c>
      <c r="AH1915" t="s">
        <v>359</v>
      </c>
    </row>
    <row r="1916" spans="1:34" ht="15.75">
      <c r="A1916" s="29">
        <f t="shared" si="29"/>
        <v>42000</v>
      </c>
      <c r="B1916" s="2">
        <v>429</v>
      </c>
      <c r="C1916" s="2">
        <v>8</v>
      </c>
      <c r="D1916" s="2">
        <v>1817</v>
      </c>
      <c r="E1916">
        <v>7679</v>
      </c>
      <c r="H1916" t="s">
        <v>1540</v>
      </c>
      <c r="I1916" s="2">
        <v>0</v>
      </c>
      <c r="J1916" s="2">
        <v>6000</v>
      </c>
      <c r="K1916" s="2" t="s">
        <v>862</v>
      </c>
      <c r="L1916" s="43" t="s">
        <v>4087</v>
      </c>
      <c r="M1916" s="41" t="s">
        <v>4088</v>
      </c>
      <c r="N1916" s="41" t="s">
        <v>3579</v>
      </c>
      <c r="O1916" s="41" t="s">
        <v>4089</v>
      </c>
      <c r="P1916" s="41">
        <v>2</v>
      </c>
      <c r="Q1916" s="41">
        <v>3</v>
      </c>
      <c r="R1916" s="41">
        <v>17</v>
      </c>
      <c r="S1916" t="s">
        <v>3343</v>
      </c>
      <c r="T1916" t="s">
        <v>4091</v>
      </c>
      <c r="U1916" t="s">
        <v>4090</v>
      </c>
      <c r="V1916" t="s">
        <v>4092</v>
      </c>
      <c r="X1916">
        <f>7/20</f>
        <v>0.35</v>
      </c>
      <c r="Y1916" t="s">
        <v>4093</v>
      </c>
      <c r="AH1916" t="s">
        <v>359</v>
      </c>
    </row>
    <row r="1917" spans="1:34" ht="15.75">
      <c r="A1917" s="29">
        <f t="shared" si="29"/>
        <v>12051</v>
      </c>
      <c r="B1917" s="8">
        <v>430</v>
      </c>
      <c r="C1917" s="8">
        <v>8</v>
      </c>
      <c r="D1917" s="8">
        <v>1817</v>
      </c>
      <c r="E1917">
        <v>7694</v>
      </c>
      <c r="F1917" s="9"/>
      <c r="G1917" s="9"/>
      <c r="H1917" s="9" t="s">
        <v>1540</v>
      </c>
      <c r="I1917" s="8">
        <f>8041+4010</f>
        <v>12051</v>
      </c>
      <c r="J1917" s="8">
        <v>0</v>
      </c>
      <c r="K1917" s="8" t="s">
        <v>863</v>
      </c>
      <c r="L1917" s="43" t="s">
        <v>5828</v>
      </c>
      <c r="M1917" s="43"/>
      <c r="N1917" s="43"/>
      <c r="O1917" s="43"/>
      <c r="P1917" s="43">
        <v>19</v>
      </c>
      <c r="Q1917" s="43">
        <v>7</v>
      </c>
      <c r="R1917" s="43" t="s">
        <v>1547</v>
      </c>
      <c r="S1917" s="9" t="s">
        <v>4094</v>
      </c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t="s">
        <v>359</v>
      </c>
    </row>
    <row r="1918" spans="1:34" ht="15.75">
      <c r="A1918" s="29">
        <f t="shared" si="29"/>
        <v>40</v>
      </c>
      <c r="B1918" s="2">
        <v>430</v>
      </c>
      <c r="C1918" s="2">
        <v>8</v>
      </c>
      <c r="D1918" s="2">
        <v>1817</v>
      </c>
      <c r="E1918">
        <v>7695</v>
      </c>
      <c r="H1918" t="s">
        <v>1540</v>
      </c>
      <c r="I1918" s="2">
        <v>40</v>
      </c>
      <c r="J1918" s="2">
        <v>0</v>
      </c>
      <c r="K1918" s="2" t="s">
        <v>862</v>
      </c>
      <c r="L1918" s="43" t="s">
        <v>4095</v>
      </c>
      <c r="P1918" s="41">
        <v>28</v>
      </c>
      <c r="Q1918" s="41">
        <v>2</v>
      </c>
      <c r="R1918" s="41">
        <v>66</v>
      </c>
      <c r="S1918" t="s">
        <v>3324</v>
      </c>
      <c r="AH1918" t="s">
        <v>359</v>
      </c>
    </row>
    <row r="1919" spans="1:34" ht="15.75">
      <c r="A1919" s="29">
        <f t="shared" si="29"/>
        <v>1300</v>
      </c>
      <c r="B1919" s="8">
        <v>430</v>
      </c>
      <c r="C1919" s="8">
        <v>8</v>
      </c>
      <c r="D1919" s="8">
        <v>1817</v>
      </c>
      <c r="E1919">
        <v>7697</v>
      </c>
      <c r="F1919" s="9"/>
      <c r="G1919" s="9"/>
      <c r="H1919" s="9" t="s">
        <v>1541</v>
      </c>
      <c r="I1919" s="8">
        <v>1300</v>
      </c>
      <c r="J1919" s="8">
        <v>0</v>
      </c>
      <c r="K1919" s="8" t="s">
        <v>863</v>
      </c>
      <c r="L1919" s="43" t="s">
        <v>5828</v>
      </c>
      <c r="M1919" s="43"/>
      <c r="N1919" s="43"/>
      <c r="O1919" s="43"/>
      <c r="P1919" s="43">
        <v>8</v>
      </c>
      <c r="Q1919" s="43">
        <v>1</v>
      </c>
      <c r="R1919" s="43">
        <v>53</v>
      </c>
      <c r="S1919" s="9" t="s">
        <v>3321</v>
      </c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t="s">
        <v>359</v>
      </c>
    </row>
    <row r="1920" spans="1:34" ht="15.75">
      <c r="A1920" s="29">
        <f t="shared" si="29"/>
        <v>13611.500000000002</v>
      </c>
      <c r="B1920" s="2">
        <v>430</v>
      </c>
      <c r="C1920" s="2">
        <v>8</v>
      </c>
      <c r="D1920" s="2">
        <v>1817</v>
      </c>
      <c r="E1920">
        <v>7698</v>
      </c>
      <c r="H1920" t="s">
        <v>1540</v>
      </c>
      <c r="I1920" s="2">
        <v>1099</v>
      </c>
      <c r="J1920" s="2">
        <f>4300+10000</f>
        <v>14300</v>
      </c>
      <c r="K1920" s="2" t="s">
        <v>863</v>
      </c>
      <c r="L1920" s="43" t="s">
        <v>722</v>
      </c>
      <c r="M1920" s="41" t="s">
        <v>3142</v>
      </c>
      <c r="N1920" s="41" t="s">
        <v>4102</v>
      </c>
      <c r="O1920" s="41" t="s">
        <v>3143</v>
      </c>
      <c r="P1920" s="41">
        <v>29</v>
      </c>
      <c r="Q1920" s="41">
        <v>7</v>
      </c>
      <c r="R1920" s="41" t="s">
        <v>1547</v>
      </c>
      <c r="S1920" t="s">
        <v>4103</v>
      </c>
      <c r="T1920" t="s">
        <v>4104</v>
      </c>
      <c r="U1920" t="s">
        <v>3143</v>
      </c>
      <c r="V1920" t="s">
        <v>4105</v>
      </c>
      <c r="X1920">
        <f>0.2*7/32</f>
        <v>0.043750000000000004</v>
      </c>
      <c r="Y1920" t="s">
        <v>4106</v>
      </c>
      <c r="AH1920" t="s">
        <v>359</v>
      </c>
    </row>
    <row r="1921" spans="1:34" ht="15.75">
      <c r="A1921" s="29">
        <f t="shared" si="29"/>
        <v>3057</v>
      </c>
      <c r="B1921" s="8">
        <v>430</v>
      </c>
      <c r="C1921" s="8">
        <v>8</v>
      </c>
      <c r="D1921" s="8">
        <v>1817</v>
      </c>
      <c r="E1921">
        <v>7699</v>
      </c>
      <c r="F1921" s="9"/>
      <c r="G1921" s="9"/>
      <c r="H1921" s="9" t="s">
        <v>1541</v>
      </c>
      <c r="I1921" s="8">
        <v>3057</v>
      </c>
      <c r="J1921" s="8">
        <v>0</v>
      </c>
      <c r="K1921" s="8" t="s">
        <v>863</v>
      </c>
      <c r="L1921" s="43" t="s">
        <v>5828</v>
      </c>
      <c r="M1921" s="43"/>
      <c r="N1921" s="43"/>
      <c r="O1921" s="43"/>
      <c r="P1921" s="43">
        <v>6</v>
      </c>
      <c r="Q1921" s="43">
        <v>8</v>
      </c>
      <c r="R1921" s="43">
        <v>78</v>
      </c>
      <c r="S1921" s="9" t="s">
        <v>3321</v>
      </c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t="s">
        <v>359</v>
      </c>
    </row>
    <row r="1922" spans="1:34" ht="15.75">
      <c r="A1922" s="29">
        <f aca="true" t="shared" si="30" ref="A1922:A1985">I1922+J1922*20*X1922</f>
        <v>2157</v>
      </c>
      <c r="B1922" s="8">
        <v>430</v>
      </c>
      <c r="C1922" s="8">
        <v>8</v>
      </c>
      <c r="D1922" s="8">
        <v>1817</v>
      </c>
      <c r="E1922">
        <v>7700</v>
      </c>
      <c r="F1922" s="9"/>
      <c r="G1922" s="9"/>
      <c r="H1922" s="9" t="s">
        <v>1540</v>
      </c>
      <c r="I1922" s="8">
        <v>2157</v>
      </c>
      <c r="J1922" s="8">
        <v>0</v>
      </c>
      <c r="K1922" s="8" t="s">
        <v>863</v>
      </c>
      <c r="L1922" s="43" t="s">
        <v>984</v>
      </c>
      <c r="M1922" s="43"/>
      <c r="N1922" s="43"/>
      <c r="O1922" s="43"/>
      <c r="P1922" s="43">
        <v>26</v>
      </c>
      <c r="Q1922" s="43">
        <v>5</v>
      </c>
      <c r="R1922" s="43">
        <v>57</v>
      </c>
      <c r="S1922" t="s">
        <v>3343</v>
      </c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t="s">
        <v>359</v>
      </c>
    </row>
    <row r="1923" spans="1:34" ht="15.75">
      <c r="A1923" s="29">
        <f t="shared" si="30"/>
        <v>6</v>
      </c>
      <c r="B1923" s="2">
        <v>430</v>
      </c>
      <c r="C1923" s="2">
        <v>8</v>
      </c>
      <c r="D1923" s="2">
        <v>1817</v>
      </c>
      <c r="E1923">
        <v>7701</v>
      </c>
      <c r="H1923" t="s">
        <v>1540</v>
      </c>
      <c r="I1923" s="2">
        <v>6</v>
      </c>
      <c r="J1923" s="2">
        <v>0</v>
      </c>
      <c r="K1923" s="2" t="s">
        <v>863</v>
      </c>
      <c r="L1923" s="43" t="s">
        <v>983</v>
      </c>
      <c r="P1923" s="41">
        <v>5</v>
      </c>
      <c r="Q1923" s="41">
        <v>4</v>
      </c>
      <c r="R1923" s="41">
        <v>54</v>
      </c>
      <c r="S1923" t="s">
        <v>3324</v>
      </c>
      <c r="AH1923" t="s">
        <v>359</v>
      </c>
    </row>
    <row r="1924" spans="1:34" ht="15.75">
      <c r="A1924" s="29">
        <f t="shared" si="30"/>
        <v>13611.500000000002</v>
      </c>
      <c r="B1924" s="2">
        <v>430</v>
      </c>
      <c r="C1924" s="2">
        <v>8</v>
      </c>
      <c r="D1924" s="2">
        <v>1817</v>
      </c>
      <c r="E1924">
        <v>7702</v>
      </c>
      <c r="H1924" t="s">
        <v>1541</v>
      </c>
      <c r="I1924" s="2">
        <v>1099</v>
      </c>
      <c r="J1924" s="2">
        <f>4300+10000</f>
        <v>14300</v>
      </c>
      <c r="K1924" s="2" t="s">
        <v>863</v>
      </c>
      <c r="L1924" s="43" t="s">
        <v>722</v>
      </c>
      <c r="M1924" s="41" t="s">
        <v>4107</v>
      </c>
      <c r="N1924" s="41" t="s">
        <v>4108</v>
      </c>
      <c r="O1924" s="41" t="s">
        <v>4109</v>
      </c>
      <c r="P1924" s="41">
        <v>24</v>
      </c>
      <c r="Q1924" s="41">
        <v>5</v>
      </c>
      <c r="R1924" s="41">
        <v>40</v>
      </c>
      <c r="S1924" t="s">
        <v>4110</v>
      </c>
      <c r="T1924" t="s">
        <v>4111</v>
      </c>
      <c r="U1924" t="s">
        <v>635</v>
      </c>
      <c r="V1924" t="s">
        <v>4105</v>
      </c>
      <c r="X1924" s="15">
        <f>1/5*7/32</f>
        <v>0.043750000000000004</v>
      </c>
      <c r="Y1924" t="s">
        <v>4106</v>
      </c>
      <c r="AH1924" t="s">
        <v>359</v>
      </c>
    </row>
    <row r="1925" spans="1:34" ht="15.75">
      <c r="A1925" s="29">
        <f t="shared" si="30"/>
        <v>804</v>
      </c>
      <c r="B1925" s="8">
        <v>430</v>
      </c>
      <c r="C1925" s="8">
        <v>8</v>
      </c>
      <c r="D1925" s="8">
        <v>1817</v>
      </c>
      <c r="E1925">
        <v>7703</v>
      </c>
      <c r="F1925" s="9"/>
      <c r="G1925" s="9"/>
      <c r="H1925" s="9" t="s">
        <v>1541</v>
      </c>
      <c r="I1925" s="8">
        <v>804</v>
      </c>
      <c r="J1925" s="8">
        <v>0</v>
      </c>
      <c r="K1925" s="8" t="s">
        <v>863</v>
      </c>
      <c r="L1925" s="43" t="s">
        <v>985</v>
      </c>
      <c r="M1925" s="43"/>
      <c r="N1925" s="43"/>
      <c r="O1925" s="43"/>
      <c r="P1925" s="43">
        <v>4</v>
      </c>
      <c r="Q1925" s="43">
        <v>2</v>
      </c>
      <c r="R1925" s="43">
        <v>57</v>
      </c>
      <c r="S1925" s="9" t="s">
        <v>3321</v>
      </c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t="s">
        <v>359</v>
      </c>
    </row>
    <row r="1926" spans="1:34" ht="15.75">
      <c r="A1926" s="29">
        <f t="shared" si="30"/>
        <v>20984</v>
      </c>
      <c r="B1926" s="8">
        <v>430</v>
      </c>
      <c r="C1926" s="8">
        <v>8</v>
      </c>
      <c r="D1926" s="8">
        <v>1817</v>
      </c>
      <c r="E1926">
        <v>7704</v>
      </c>
      <c r="F1926" s="9"/>
      <c r="G1926" s="9"/>
      <c r="H1926" s="9" t="s">
        <v>1540</v>
      </c>
      <c r="I1926" s="8">
        <v>20984</v>
      </c>
      <c r="J1926" s="8">
        <v>0</v>
      </c>
      <c r="K1926" s="2" t="s">
        <v>863</v>
      </c>
      <c r="L1926" s="43" t="s">
        <v>4112</v>
      </c>
      <c r="M1926" s="41" t="s">
        <v>1512</v>
      </c>
      <c r="N1926" s="41" t="s">
        <v>1555</v>
      </c>
      <c r="O1926" s="41" t="s">
        <v>4113</v>
      </c>
      <c r="P1926" s="41">
        <v>14</v>
      </c>
      <c r="Q1926" s="41">
        <v>11</v>
      </c>
      <c r="R1926" s="41">
        <v>88</v>
      </c>
      <c r="S1926" t="s">
        <v>4114</v>
      </c>
      <c r="T1926" t="s">
        <v>4649</v>
      </c>
      <c r="V1926" t="s">
        <v>4115</v>
      </c>
      <c r="AH1926" t="s">
        <v>359</v>
      </c>
    </row>
    <row r="1927" spans="1:34" ht="15.75">
      <c r="A1927" s="29">
        <f t="shared" si="30"/>
        <v>1747</v>
      </c>
      <c r="B1927" s="8">
        <v>430</v>
      </c>
      <c r="C1927" s="8">
        <v>8</v>
      </c>
      <c r="D1927" s="8">
        <v>1817</v>
      </c>
      <c r="E1927">
        <v>7705</v>
      </c>
      <c r="F1927" s="9"/>
      <c r="G1927" s="9"/>
      <c r="H1927" s="9" t="s">
        <v>1540</v>
      </c>
      <c r="I1927" s="8">
        <v>1747</v>
      </c>
      <c r="J1927" s="8">
        <v>0</v>
      </c>
      <c r="K1927" s="8" t="s">
        <v>863</v>
      </c>
      <c r="L1927" s="43" t="s">
        <v>986</v>
      </c>
      <c r="M1927" s="43"/>
      <c r="N1927" s="43"/>
      <c r="O1927" s="43"/>
      <c r="P1927" s="43">
        <v>8</v>
      </c>
      <c r="Q1927" s="43">
        <v>6</v>
      </c>
      <c r="R1927" s="43">
        <v>30</v>
      </c>
      <c r="S1927" s="9" t="s">
        <v>3324</v>
      </c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t="s">
        <v>359</v>
      </c>
    </row>
    <row r="1928" spans="1:34" ht="15.75">
      <c r="A1928" s="29">
        <f t="shared" si="30"/>
        <v>1097</v>
      </c>
      <c r="B1928" s="2">
        <v>430</v>
      </c>
      <c r="C1928" s="2">
        <v>8</v>
      </c>
      <c r="D1928" s="2">
        <v>1817</v>
      </c>
      <c r="E1928">
        <v>7706</v>
      </c>
      <c r="H1928" t="s">
        <v>1540</v>
      </c>
      <c r="I1928" s="2">
        <v>1097</v>
      </c>
      <c r="J1928" s="2">
        <v>0</v>
      </c>
      <c r="K1928" s="2" t="s">
        <v>863</v>
      </c>
      <c r="L1928" s="43" t="s">
        <v>4116</v>
      </c>
      <c r="P1928" s="41">
        <v>18</v>
      </c>
      <c r="Q1928" s="41">
        <v>10</v>
      </c>
      <c r="R1928" s="41">
        <v>84</v>
      </c>
      <c r="S1928" t="s">
        <v>3321</v>
      </c>
      <c r="AH1928" t="s">
        <v>359</v>
      </c>
    </row>
    <row r="1929" spans="1:34" ht="15.75">
      <c r="A1929" s="29">
        <f t="shared" si="30"/>
        <v>280584</v>
      </c>
      <c r="B1929" s="2">
        <v>430</v>
      </c>
      <c r="C1929" s="2">
        <v>8</v>
      </c>
      <c r="D1929" s="2">
        <v>1817</v>
      </c>
      <c r="E1929">
        <v>7708</v>
      </c>
      <c r="H1929" t="s">
        <v>1540</v>
      </c>
      <c r="I1929" s="2">
        <v>280584</v>
      </c>
      <c r="J1929" s="2">
        <v>0</v>
      </c>
      <c r="K1929" s="2" t="s">
        <v>863</v>
      </c>
      <c r="L1929" s="43" t="s">
        <v>4117</v>
      </c>
      <c r="M1929" s="41" t="s">
        <v>3142</v>
      </c>
      <c r="N1929" s="41" t="s">
        <v>3144</v>
      </c>
      <c r="O1929" s="41" t="s">
        <v>4118</v>
      </c>
      <c r="P1929" s="41">
        <v>22</v>
      </c>
      <c r="Q1929" s="41">
        <v>4</v>
      </c>
      <c r="R1929" s="41">
        <v>59</v>
      </c>
      <c r="S1929" t="s">
        <v>4332</v>
      </c>
      <c r="T1929" t="s">
        <v>4334</v>
      </c>
      <c r="V1929" t="s">
        <v>3145</v>
      </c>
      <c r="AH1929" t="s">
        <v>359</v>
      </c>
    </row>
    <row r="1930" spans="1:34" ht="15.75">
      <c r="A1930" s="29">
        <f t="shared" si="30"/>
        <v>317781</v>
      </c>
      <c r="B1930" s="2">
        <v>430</v>
      </c>
      <c r="C1930" s="2">
        <v>8</v>
      </c>
      <c r="D1930" s="2">
        <v>1817</v>
      </c>
      <c r="E1930">
        <v>7710</v>
      </c>
      <c r="H1930" t="s">
        <v>1540</v>
      </c>
      <c r="I1930" s="2">
        <f>317601+180</f>
        <v>317781</v>
      </c>
      <c r="J1930" s="2">
        <v>0</v>
      </c>
      <c r="K1930" s="2" t="s">
        <v>863</v>
      </c>
      <c r="L1930" s="43" t="s">
        <v>4335</v>
      </c>
      <c r="M1930" s="41" t="s">
        <v>4336</v>
      </c>
      <c r="N1930" s="41" t="s">
        <v>3144</v>
      </c>
      <c r="O1930" s="41" t="s">
        <v>4337</v>
      </c>
      <c r="P1930" s="41">
        <v>22</v>
      </c>
      <c r="Q1930" s="41">
        <v>2</v>
      </c>
      <c r="R1930" s="41">
        <v>35</v>
      </c>
      <c r="S1930" t="s">
        <v>4338</v>
      </c>
      <c r="T1930" t="s">
        <v>4339</v>
      </c>
      <c r="V1930" t="s">
        <v>3260</v>
      </c>
      <c r="AH1930" t="s">
        <v>359</v>
      </c>
    </row>
    <row r="1931" spans="1:34" ht="15.75">
      <c r="A1931" s="29">
        <f t="shared" si="30"/>
        <v>61964</v>
      </c>
      <c r="B1931" s="2">
        <v>430</v>
      </c>
      <c r="C1931" s="2">
        <v>8</v>
      </c>
      <c r="D1931" s="2">
        <v>1817</v>
      </c>
      <c r="E1931">
        <v>7712</v>
      </c>
      <c r="H1931" t="s">
        <v>1540</v>
      </c>
      <c r="I1931" s="2">
        <v>61964</v>
      </c>
      <c r="J1931" s="2">
        <v>0</v>
      </c>
      <c r="K1931" s="2" t="s">
        <v>863</v>
      </c>
      <c r="L1931" s="43" t="s">
        <v>4340</v>
      </c>
      <c r="M1931" s="41" t="s">
        <v>4341</v>
      </c>
      <c r="N1931" s="41" t="s">
        <v>4097</v>
      </c>
      <c r="O1931" s="41" t="s">
        <v>4342</v>
      </c>
      <c r="P1931" s="41">
        <v>19</v>
      </c>
      <c r="Q1931" s="41">
        <v>5</v>
      </c>
      <c r="R1931" s="41">
        <v>54</v>
      </c>
      <c r="S1931" t="s">
        <v>4343</v>
      </c>
      <c r="T1931" t="s">
        <v>4104</v>
      </c>
      <c r="V1931" t="s">
        <v>4344</v>
      </c>
      <c r="AH1931" t="s">
        <v>359</v>
      </c>
    </row>
    <row r="1932" spans="1:34" ht="15.75">
      <c r="A1932" s="29">
        <f t="shared" si="30"/>
        <v>6866</v>
      </c>
      <c r="B1932" s="2">
        <v>431</v>
      </c>
      <c r="C1932" s="2">
        <v>8</v>
      </c>
      <c r="D1932" s="2">
        <v>1817</v>
      </c>
      <c r="E1932">
        <v>7730</v>
      </c>
      <c r="H1932" t="s">
        <v>1541</v>
      </c>
      <c r="I1932" s="2">
        <f>239+6627</f>
        <v>6866</v>
      </c>
      <c r="J1932" s="2">
        <v>0</v>
      </c>
      <c r="K1932" s="2" t="s">
        <v>863</v>
      </c>
      <c r="L1932" s="43" t="s">
        <v>986</v>
      </c>
      <c r="P1932" s="41">
        <v>5</v>
      </c>
      <c r="Q1932" s="41">
        <v>9</v>
      </c>
      <c r="R1932" s="41">
        <v>54</v>
      </c>
      <c r="S1932" t="s">
        <v>3321</v>
      </c>
      <c r="AH1932" t="s">
        <v>359</v>
      </c>
    </row>
    <row r="1933" spans="1:34" ht="15.75">
      <c r="A1933" s="29">
        <f t="shared" si="30"/>
        <v>2583</v>
      </c>
      <c r="B1933" s="2">
        <v>431</v>
      </c>
      <c r="C1933" s="2">
        <v>8</v>
      </c>
      <c r="D1933" s="2">
        <v>1817</v>
      </c>
      <c r="E1933">
        <v>7731</v>
      </c>
      <c r="H1933" t="s">
        <v>1540</v>
      </c>
      <c r="I1933" s="2">
        <v>2583</v>
      </c>
      <c r="J1933" s="2">
        <v>0</v>
      </c>
      <c r="K1933" s="2" t="s">
        <v>863</v>
      </c>
      <c r="L1933" s="43" t="s">
        <v>986</v>
      </c>
      <c r="P1933" s="41">
        <v>13</v>
      </c>
      <c r="Q1933" s="41">
        <v>10</v>
      </c>
      <c r="R1933" s="41">
        <v>45</v>
      </c>
      <c r="S1933" t="s">
        <v>3321</v>
      </c>
      <c r="AH1933" t="s">
        <v>359</v>
      </c>
    </row>
    <row r="1934" spans="1:34" ht="15.75">
      <c r="A1934" s="29">
        <f t="shared" si="30"/>
        <v>14411</v>
      </c>
      <c r="B1934" s="2">
        <v>431</v>
      </c>
      <c r="C1934" s="2">
        <v>8</v>
      </c>
      <c r="D1934" s="2">
        <v>1817</v>
      </c>
      <c r="E1934">
        <v>7732</v>
      </c>
      <c r="H1934" t="s">
        <v>1541</v>
      </c>
      <c r="I1934" s="2">
        <v>14411</v>
      </c>
      <c r="J1934" s="2">
        <v>0</v>
      </c>
      <c r="K1934" s="2" t="s">
        <v>863</v>
      </c>
      <c r="L1934" s="43" t="s">
        <v>988</v>
      </c>
      <c r="P1934" s="41">
        <v>21</v>
      </c>
      <c r="Q1934" s="41">
        <v>9</v>
      </c>
      <c r="R1934" s="41">
        <v>44</v>
      </c>
      <c r="T1934" t="s">
        <v>999</v>
      </c>
      <c r="AH1934" t="s">
        <v>359</v>
      </c>
    </row>
    <row r="1935" spans="1:34" ht="15.75">
      <c r="A1935" s="29">
        <f t="shared" si="30"/>
        <v>313055</v>
      </c>
      <c r="B1935" s="2">
        <v>431</v>
      </c>
      <c r="C1935" s="2">
        <v>8</v>
      </c>
      <c r="D1935" s="2">
        <v>1817</v>
      </c>
      <c r="E1935">
        <v>7733</v>
      </c>
      <c r="H1935" t="s">
        <v>1540</v>
      </c>
      <c r="I1935" s="2">
        <v>66155</v>
      </c>
      <c r="J1935" s="2">
        <v>12345</v>
      </c>
      <c r="K1935" s="2" t="s">
        <v>863</v>
      </c>
      <c r="L1935" s="43" t="s">
        <v>4345</v>
      </c>
      <c r="M1935" s="41" t="s">
        <v>3137</v>
      </c>
      <c r="N1935" s="41" t="s">
        <v>4346</v>
      </c>
      <c r="O1935" s="41" t="s">
        <v>4347</v>
      </c>
      <c r="P1935" s="41">
        <v>31</v>
      </c>
      <c r="Q1935" s="41">
        <v>1</v>
      </c>
      <c r="R1935" s="41">
        <v>60</v>
      </c>
      <c r="S1935" t="s">
        <v>4348</v>
      </c>
      <c r="T1935" t="s">
        <v>4349</v>
      </c>
      <c r="V1935" t="s">
        <v>4350</v>
      </c>
      <c r="X1935">
        <v>1</v>
      </c>
      <c r="Y1935" t="s">
        <v>4351</v>
      </c>
      <c r="AA1935" t="s">
        <v>4352</v>
      </c>
      <c r="AH1935" t="s">
        <v>359</v>
      </c>
    </row>
    <row r="1936" spans="1:34" ht="15.75">
      <c r="A1936" s="29">
        <f t="shared" si="30"/>
        <v>1068</v>
      </c>
      <c r="B1936" s="2">
        <v>431</v>
      </c>
      <c r="C1936" s="2">
        <v>8</v>
      </c>
      <c r="D1936" s="2">
        <v>1817</v>
      </c>
      <c r="E1936">
        <v>7734</v>
      </c>
      <c r="H1936" t="s">
        <v>1541</v>
      </c>
      <c r="I1936" s="2">
        <v>1068</v>
      </c>
      <c r="J1936" s="2">
        <v>0</v>
      </c>
      <c r="K1936" s="2" t="s">
        <v>863</v>
      </c>
      <c r="L1936" s="43" t="s">
        <v>4353</v>
      </c>
      <c r="P1936" s="41">
        <v>3</v>
      </c>
      <c r="Q1936" s="41">
        <v>1</v>
      </c>
      <c r="R1936" s="41">
        <v>75</v>
      </c>
      <c r="S1936" t="s">
        <v>3329</v>
      </c>
      <c r="AH1936" t="s">
        <v>359</v>
      </c>
    </row>
    <row r="1937" spans="1:34" ht="15.75">
      <c r="A1937" s="29">
        <f t="shared" si="30"/>
        <v>1000</v>
      </c>
      <c r="B1937" s="2">
        <v>431</v>
      </c>
      <c r="C1937" s="2">
        <v>8</v>
      </c>
      <c r="D1937" s="2">
        <v>1817</v>
      </c>
      <c r="E1937">
        <v>7735</v>
      </c>
      <c r="H1937" t="s">
        <v>1541</v>
      </c>
      <c r="I1937" s="2">
        <v>1000</v>
      </c>
      <c r="J1937" s="2">
        <v>0</v>
      </c>
      <c r="K1937" s="2" t="s">
        <v>863</v>
      </c>
      <c r="L1937" s="43" t="s">
        <v>4353</v>
      </c>
      <c r="P1937" s="41">
        <v>29</v>
      </c>
      <c r="Q1937" s="41">
        <v>3</v>
      </c>
      <c r="R1937" s="41">
        <v>30</v>
      </c>
      <c r="S1937" t="s">
        <v>3321</v>
      </c>
      <c r="AH1937" t="s">
        <v>359</v>
      </c>
    </row>
    <row r="1938" spans="1:34" ht="15.75">
      <c r="A1938" s="29">
        <f t="shared" si="30"/>
        <v>2500</v>
      </c>
      <c r="B1938" s="2">
        <v>431</v>
      </c>
      <c r="C1938" s="2">
        <v>8</v>
      </c>
      <c r="D1938" s="2">
        <v>1817</v>
      </c>
      <c r="E1938">
        <v>7736</v>
      </c>
      <c r="H1938" t="s">
        <v>1541</v>
      </c>
      <c r="I1938" s="2">
        <v>2500</v>
      </c>
      <c r="J1938" s="2">
        <v>0</v>
      </c>
      <c r="K1938" s="2" t="s">
        <v>863</v>
      </c>
      <c r="L1938" s="43" t="s">
        <v>4353</v>
      </c>
      <c r="P1938" s="41">
        <v>29</v>
      </c>
      <c r="Q1938" s="41">
        <v>6</v>
      </c>
      <c r="R1938" s="41" t="s">
        <v>1547</v>
      </c>
      <c r="S1938" t="s">
        <v>3321</v>
      </c>
      <c r="AH1938" t="s">
        <v>359</v>
      </c>
    </row>
    <row r="1939" spans="1:34" ht="15.75">
      <c r="A1939" s="29">
        <f t="shared" si="30"/>
        <v>7499</v>
      </c>
      <c r="B1939" s="2">
        <v>431</v>
      </c>
      <c r="C1939" s="2">
        <v>8</v>
      </c>
      <c r="D1939" s="2">
        <v>1817</v>
      </c>
      <c r="E1939">
        <v>7737</v>
      </c>
      <c r="H1939" t="s">
        <v>1540</v>
      </c>
      <c r="I1939" s="2">
        <f>4799+900+1800</f>
        <v>7499</v>
      </c>
      <c r="J1939" s="2">
        <v>0</v>
      </c>
      <c r="K1939" s="2" t="s">
        <v>863</v>
      </c>
      <c r="L1939" s="43" t="s">
        <v>990</v>
      </c>
      <c r="P1939" s="41">
        <v>3</v>
      </c>
      <c r="Q1939" s="41">
        <v>12</v>
      </c>
      <c r="R1939" s="41">
        <v>62</v>
      </c>
      <c r="S1939" t="s">
        <v>3321</v>
      </c>
      <c r="AH1939" t="s">
        <v>359</v>
      </c>
    </row>
    <row r="1940" spans="1:34" ht="15.75">
      <c r="A1940" s="29">
        <f t="shared" si="30"/>
        <v>560</v>
      </c>
      <c r="B1940" s="2">
        <v>431</v>
      </c>
      <c r="C1940" s="2">
        <v>8</v>
      </c>
      <c r="D1940" s="2">
        <v>1817</v>
      </c>
      <c r="E1940">
        <v>7738</v>
      </c>
      <c r="H1940" t="s">
        <v>1541</v>
      </c>
      <c r="I1940" s="2">
        <v>560</v>
      </c>
      <c r="J1940" s="2">
        <v>0</v>
      </c>
      <c r="K1940" s="2" t="s">
        <v>863</v>
      </c>
      <c r="L1940" s="43" t="s">
        <v>4183</v>
      </c>
      <c r="P1940" s="41">
        <v>21</v>
      </c>
      <c r="Q1940" s="41">
        <v>11</v>
      </c>
      <c r="R1940" s="41">
        <v>43</v>
      </c>
      <c r="S1940" t="s">
        <v>3321</v>
      </c>
      <c r="AH1940" t="s">
        <v>359</v>
      </c>
    </row>
    <row r="1941" spans="1:34" ht="15.75">
      <c r="A1941" s="29">
        <f t="shared" si="30"/>
        <v>19653</v>
      </c>
      <c r="B1941" s="8">
        <v>431</v>
      </c>
      <c r="C1941" s="8">
        <v>8</v>
      </c>
      <c r="D1941" s="8">
        <v>1817</v>
      </c>
      <c r="E1941">
        <v>7740</v>
      </c>
      <c r="F1941" s="9"/>
      <c r="G1941" s="9"/>
      <c r="H1941" s="9" t="s">
        <v>1541</v>
      </c>
      <c r="I1941" s="8">
        <v>19653</v>
      </c>
      <c r="J1941" s="8">
        <v>0</v>
      </c>
      <c r="K1941" s="2" t="s">
        <v>863</v>
      </c>
      <c r="L1941" s="43" t="s">
        <v>4185</v>
      </c>
      <c r="M1941" s="41" t="s">
        <v>4359</v>
      </c>
      <c r="N1941" s="41" t="s">
        <v>898</v>
      </c>
      <c r="O1941" s="41" t="s">
        <v>4360</v>
      </c>
      <c r="P1941" s="41">
        <v>13</v>
      </c>
      <c r="Q1941" s="41">
        <v>9</v>
      </c>
      <c r="R1941" s="41">
        <v>67</v>
      </c>
      <c r="S1941" s="11" t="s">
        <v>4361</v>
      </c>
      <c r="T1941" s="11" t="s">
        <v>4362</v>
      </c>
      <c r="V1941" s="11" t="s">
        <v>3845</v>
      </c>
      <c r="W1941" s="11"/>
      <c r="AH1941" t="s">
        <v>359</v>
      </c>
    </row>
    <row r="1942" spans="1:34" ht="15.75">
      <c r="A1942" s="29">
        <f t="shared" si="30"/>
        <v>7294</v>
      </c>
      <c r="B1942" s="2">
        <v>431</v>
      </c>
      <c r="C1942" s="2">
        <v>8</v>
      </c>
      <c r="D1942" s="2">
        <v>1817</v>
      </c>
      <c r="E1942">
        <v>7741</v>
      </c>
      <c r="H1942" t="s">
        <v>1540</v>
      </c>
      <c r="I1942" s="2">
        <v>7294</v>
      </c>
      <c r="J1942" s="2">
        <v>0</v>
      </c>
      <c r="K1942" s="2" t="s">
        <v>863</v>
      </c>
      <c r="L1942" s="43" t="s">
        <v>4945</v>
      </c>
      <c r="P1942" s="41">
        <v>24</v>
      </c>
      <c r="Q1942" s="41">
        <v>10</v>
      </c>
      <c r="R1942" s="41">
        <v>75</v>
      </c>
      <c r="S1942" t="s">
        <v>884</v>
      </c>
      <c r="AH1942" t="s">
        <v>359</v>
      </c>
    </row>
    <row r="1943" spans="1:34" ht="15.75">
      <c r="A1943" s="29">
        <f t="shared" si="30"/>
        <v>3017</v>
      </c>
      <c r="B1943" s="2">
        <v>431</v>
      </c>
      <c r="C1943" s="2">
        <v>8</v>
      </c>
      <c r="D1943" s="2">
        <v>1817</v>
      </c>
      <c r="E1943">
        <v>7742</v>
      </c>
      <c r="H1943" t="s">
        <v>1541</v>
      </c>
      <c r="I1943" s="2">
        <f>2897+120</f>
        <v>3017</v>
      </c>
      <c r="J1943" s="2">
        <v>0</v>
      </c>
      <c r="K1943" s="2" t="s">
        <v>863</v>
      </c>
      <c r="L1943" s="43" t="s">
        <v>4363</v>
      </c>
      <c r="P1943" s="41">
        <v>18</v>
      </c>
      <c r="Q1943" s="41">
        <v>9</v>
      </c>
      <c r="R1943" s="41">
        <v>57</v>
      </c>
      <c r="S1943" t="s">
        <v>3321</v>
      </c>
      <c r="AH1943" t="s">
        <v>359</v>
      </c>
    </row>
    <row r="1944" spans="1:34" ht="15.75">
      <c r="A1944" s="29">
        <f t="shared" si="30"/>
        <v>730</v>
      </c>
      <c r="B1944" s="2">
        <v>431</v>
      </c>
      <c r="C1944" s="2">
        <v>8</v>
      </c>
      <c r="D1944" s="2">
        <v>1817</v>
      </c>
      <c r="E1944">
        <v>7743</v>
      </c>
      <c r="H1944" t="s">
        <v>1541</v>
      </c>
      <c r="I1944" s="2">
        <v>730</v>
      </c>
      <c r="J1944" s="2">
        <v>0</v>
      </c>
      <c r="K1944" s="2" t="s">
        <v>863</v>
      </c>
      <c r="L1944" s="43" t="s">
        <v>1370</v>
      </c>
      <c r="P1944" s="41">
        <v>10</v>
      </c>
      <c r="Q1944" s="41">
        <v>3</v>
      </c>
      <c r="R1944" s="41">
        <v>81</v>
      </c>
      <c r="S1944" t="s">
        <v>3329</v>
      </c>
      <c r="AH1944" t="s">
        <v>359</v>
      </c>
    </row>
    <row r="1945" spans="1:34" ht="15.75">
      <c r="A1945" s="29">
        <f t="shared" si="30"/>
        <v>12545</v>
      </c>
      <c r="B1945" s="2">
        <v>431</v>
      </c>
      <c r="C1945" s="2">
        <v>8</v>
      </c>
      <c r="D1945" s="2">
        <v>1817</v>
      </c>
      <c r="E1945">
        <v>7744</v>
      </c>
      <c r="H1945" t="s">
        <v>1540</v>
      </c>
      <c r="I1945" s="2">
        <f>545+12000</f>
        <v>12545</v>
      </c>
      <c r="J1945" s="2">
        <v>0</v>
      </c>
      <c r="K1945" s="2" t="s">
        <v>863</v>
      </c>
      <c r="L1945" s="43" t="s">
        <v>1319</v>
      </c>
      <c r="P1945" s="41">
        <v>26</v>
      </c>
      <c r="Q1945" s="41">
        <v>7</v>
      </c>
      <c r="R1945" s="41">
        <v>78</v>
      </c>
      <c r="S1945" t="s">
        <v>3324</v>
      </c>
      <c r="AH1945" t="s">
        <v>359</v>
      </c>
    </row>
    <row r="1946" spans="1:34" ht="15.75">
      <c r="A1946" s="29">
        <f t="shared" si="30"/>
        <v>63</v>
      </c>
      <c r="B1946" s="2">
        <v>431</v>
      </c>
      <c r="C1946" s="2">
        <v>8</v>
      </c>
      <c r="D1946" s="2">
        <v>1817</v>
      </c>
      <c r="E1946">
        <v>7745</v>
      </c>
      <c r="H1946" t="s">
        <v>1540</v>
      </c>
      <c r="I1946" s="2">
        <v>63</v>
      </c>
      <c r="J1946" s="2">
        <v>0</v>
      </c>
      <c r="K1946" s="2" t="s">
        <v>863</v>
      </c>
      <c r="L1946" s="43" t="s">
        <v>1319</v>
      </c>
      <c r="P1946" s="41">
        <v>14</v>
      </c>
      <c r="Q1946" s="41">
        <v>8</v>
      </c>
      <c r="R1946" s="41" t="s">
        <v>1547</v>
      </c>
      <c r="S1946" t="s">
        <v>3321</v>
      </c>
      <c r="AH1946" t="s">
        <v>359</v>
      </c>
    </row>
    <row r="1947" spans="1:34" ht="15.75">
      <c r="A1947" s="29">
        <f t="shared" si="30"/>
        <v>18082</v>
      </c>
      <c r="B1947" s="8">
        <v>431</v>
      </c>
      <c r="C1947" s="8">
        <v>8</v>
      </c>
      <c r="D1947" s="8">
        <v>1817</v>
      </c>
      <c r="E1947">
        <v>7746</v>
      </c>
      <c r="F1947" s="9"/>
      <c r="G1947" s="9"/>
      <c r="H1947" s="9" t="s">
        <v>1541</v>
      </c>
      <c r="I1947" s="8">
        <v>18082</v>
      </c>
      <c r="J1947" s="8">
        <v>0</v>
      </c>
      <c r="K1947" s="2" t="s">
        <v>863</v>
      </c>
      <c r="L1947" s="43" t="s">
        <v>4364</v>
      </c>
      <c r="M1947" s="43" t="s">
        <v>3567</v>
      </c>
      <c r="N1947" s="43"/>
      <c r="O1947" s="43" t="s">
        <v>4365</v>
      </c>
      <c r="P1947" s="43">
        <v>14</v>
      </c>
      <c r="Q1947" s="43">
        <v>8</v>
      </c>
      <c r="R1947" s="43" t="s">
        <v>1547</v>
      </c>
      <c r="S1947" s="12" t="s">
        <v>4366</v>
      </c>
      <c r="T1947" s="12" t="s">
        <v>4367</v>
      </c>
      <c r="U1947" s="12" t="s">
        <v>1276</v>
      </c>
      <c r="V1947" s="12" t="s">
        <v>2354</v>
      </c>
      <c r="W1947" s="12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t="s">
        <v>359</v>
      </c>
    </row>
    <row r="1948" spans="1:34" ht="15.75">
      <c r="A1948" s="29">
        <f t="shared" si="30"/>
        <v>38000</v>
      </c>
      <c r="B1948" s="2">
        <v>431</v>
      </c>
      <c r="C1948" s="2">
        <v>8</v>
      </c>
      <c r="D1948" s="2">
        <v>1817</v>
      </c>
      <c r="E1948">
        <v>7747</v>
      </c>
      <c r="H1948" t="s">
        <v>1540</v>
      </c>
      <c r="I1948" s="2">
        <v>38000</v>
      </c>
      <c r="J1948" s="2">
        <v>0</v>
      </c>
      <c r="K1948" s="2" t="s">
        <v>863</v>
      </c>
      <c r="L1948" s="43" t="s">
        <v>4368</v>
      </c>
      <c r="M1948" s="41" t="s">
        <v>1701</v>
      </c>
      <c r="N1948" s="41" t="s">
        <v>4369</v>
      </c>
      <c r="O1948" s="41" t="s">
        <v>3828</v>
      </c>
      <c r="P1948" s="41">
        <v>8</v>
      </c>
      <c r="Q1948" s="41">
        <v>8</v>
      </c>
      <c r="R1948" s="41" t="s">
        <v>1547</v>
      </c>
      <c r="S1948" t="s">
        <v>3343</v>
      </c>
      <c r="T1948" t="s">
        <v>3448</v>
      </c>
      <c r="U1948" t="s">
        <v>3828</v>
      </c>
      <c r="V1948" t="s">
        <v>4370</v>
      </c>
      <c r="AH1948" t="s">
        <v>359</v>
      </c>
    </row>
    <row r="1949" spans="1:34" ht="15.75">
      <c r="A1949" s="29">
        <f t="shared" si="30"/>
        <v>18653</v>
      </c>
      <c r="B1949" s="2">
        <v>431</v>
      </c>
      <c r="C1949" s="2">
        <v>8</v>
      </c>
      <c r="D1949" s="2">
        <v>1817</v>
      </c>
      <c r="E1949">
        <v>7748</v>
      </c>
      <c r="H1949" t="s">
        <v>850</v>
      </c>
      <c r="I1949" s="2">
        <v>18653</v>
      </c>
      <c r="J1949" s="2">
        <v>0</v>
      </c>
      <c r="K1949" s="2" t="s">
        <v>863</v>
      </c>
      <c r="L1949" s="43" t="s">
        <v>4371</v>
      </c>
      <c r="M1949" s="41" t="s">
        <v>1695</v>
      </c>
      <c r="O1949" s="41" t="s">
        <v>4372</v>
      </c>
      <c r="P1949" s="41">
        <v>20</v>
      </c>
      <c r="Q1949" s="41">
        <v>1</v>
      </c>
      <c r="R1949" s="41">
        <v>48</v>
      </c>
      <c r="S1949" t="s">
        <v>3321</v>
      </c>
      <c r="T1949" t="s">
        <v>969</v>
      </c>
      <c r="V1949" t="s">
        <v>4373</v>
      </c>
      <c r="AH1949" t="s">
        <v>359</v>
      </c>
    </row>
    <row r="1950" spans="1:34" ht="15.75">
      <c r="A1950" s="29">
        <f t="shared" si="30"/>
        <v>2165</v>
      </c>
      <c r="B1950" s="2">
        <v>432</v>
      </c>
      <c r="C1950" s="2">
        <v>8</v>
      </c>
      <c r="D1950" s="2">
        <v>1817</v>
      </c>
      <c r="E1950">
        <v>7771</v>
      </c>
      <c r="H1950" t="s">
        <v>1540</v>
      </c>
      <c r="I1950" s="2">
        <v>2165</v>
      </c>
      <c r="J1950" s="2">
        <v>0</v>
      </c>
      <c r="K1950" s="2" t="s">
        <v>863</v>
      </c>
      <c r="L1950" s="43" t="s">
        <v>4186</v>
      </c>
      <c r="P1950" s="41">
        <v>14</v>
      </c>
      <c r="Q1950" s="41">
        <v>4</v>
      </c>
      <c r="R1950" s="41">
        <v>51</v>
      </c>
      <c r="S1950" t="s">
        <v>3321</v>
      </c>
      <c r="AH1950" t="s">
        <v>359</v>
      </c>
    </row>
    <row r="1951" spans="1:34" ht="15.75">
      <c r="A1951" s="29">
        <f t="shared" si="30"/>
        <v>202</v>
      </c>
      <c r="B1951" s="2">
        <v>432</v>
      </c>
      <c r="C1951" s="2">
        <v>8</v>
      </c>
      <c r="D1951" s="2">
        <v>1817</v>
      </c>
      <c r="E1951">
        <v>7773</v>
      </c>
      <c r="H1951" t="s">
        <v>1541</v>
      </c>
      <c r="I1951" s="2">
        <v>202</v>
      </c>
      <c r="J1951" s="2">
        <v>0</v>
      </c>
      <c r="K1951" s="2" t="s">
        <v>863</v>
      </c>
      <c r="L1951" s="43" t="s">
        <v>4381</v>
      </c>
      <c r="P1951" s="41">
        <v>24</v>
      </c>
      <c r="Q1951" s="41">
        <v>7</v>
      </c>
      <c r="R1951" s="41">
        <v>50</v>
      </c>
      <c r="S1951" t="s">
        <v>3343</v>
      </c>
      <c r="AH1951" t="s">
        <v>359</v>
      </c>
    </row>
    <row r="1952" spans="1:34" ht="15.75">
      <c r="A1952" s="29">
        <f t="shared" si="30"/>
        <v>90</v>
      </c>
      <c r="B1952" s="2">
        <v>432</v>
      </c>
      <c r="C1952" s="2">
        <v>8</v>
      </c>
      <c r="D1952" s="2">
        <v>1817</v>
      </c>
      <c r="E1952">
        <v>7774</v>
      </c>
      <c r="H1952" t="s">
        <v>1549</v>
      </c>
      <c r="I1952" s="2">
        <v>90</v>
      </c>
      <c r="J1952" s="2"/>
      <c r="K1952" s="2" t="s">
        <v>863</v>
      </c>
      <c r="L1952" s="43" t="s">
        <v>995</v>
      </c>
      <c r="P1952" s="41">
        <v>31</v>
      </c>
      <c r="Q1952" s="41">
        <v>10</v>
      </c>
      <c r="R1952" s="41">
        <v>52</v>
      </c>
      <c r="S1952" t="s">
        <v>3324</v>
      </c>
      <c r="AH1952" t="s">
        <v>359</v>
      </c>
    </row>
    <row r="1953" spans="1:34" ht="15.75">
      <c r="A1953" s="29">
        <f t="shared" si="30"/>
        <v>2949</v>
      </c>
      <c r="B1953" s="22">
        <v>432</v>
      </c>
      <c r="C1953" s="22">
        <v>8</v>
      </c>
      <c r="D1953" s="22">
        <v>1817</v>
      </c>
      <c r="E1953">
        <v>7775</v>
      </c>
      <c r="F1953" s="16"/>
      <c r="G1953" s="16"/>
      <c r="H1953" s="16" t="s">
        <v>1541</v>
      </c>
      <c r="I1953" s="22">
        <f>2145+804</f>
        <v>2949</v>
      </c>
      <c r="J1953" s="22">
        <v>0</v>
      </c>
      <c r="K1953" s="22" t="s">
        <v>863</v>
      </c>
      <c r="M1953" s="45"/>
      <c r="N1953" s="45"/>
      <c r="O1953" s="45"/>
      <c r="P1953" s="45"/>
      <c r="Q1953" s="45"/>
      <c r="R1953" s="45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t="s">
        <v>359</v>
      </c>
    </row>
    <row r="1954" spans="1:34" ht="15.75">
      <c r="A1954" s="29">
        <f t="shared" si="30"/>
        <v>3708</v>
      </c>
      <c r="B1954" s="2">
        <v>432</v>
      </c>
      <c r="C1954" s="2">
        <v>8</v>
      </c>
      <c r="D1954" s="2">
        <v>1817</v>
      </c>
      <c r="E1954">
        <v>7776</v>
      </c>
      <c r="H1954" t="s">
        <v>1540</v>
      </c>
      <c r="I1954" s="2">
        <f>3000+600+108</f>
        <v>3708</v>
      </c>
      <c r="J1954" s="2">
        <v>0</v>
      </c>
      <c r="K1954" s="2" t="s">
        <v>863</v>
      </c>
      <c r="L1954" s="43" t="s">
        <v>995</v>
      </c>
      <c r="P1954" s="41">
        <v>10</v>
      </c>
      <c r="Q1954" s="41">
        <v>5</v>
      </c>
      <c r="R1954" s="41">
        <v>64</v>
      </c>
      <c r="S1954" t="s">
        <v>884</v>
      </c>
      <c r="AH1954" t="s">
        <v>359</v>
      </c>
    </row>
    <row r="1955" spans="1:34" ht="15.75">
      <c r="A1955" s="29">
        <f t="shared" si="30"/>
        <v>4103</v>
      </c>
      <c r="B1955" s="2">
        <v>432</v>
      </c>
      <c r="C1955" s="2">
        <v>8</v>
      </c>
      <c r="D1955" s="2">
        <v>1817</v>
      </c>
      <c r="E1955">
        <v>7777</v>
      </c>
      <c r="H1955" t="s">
        <v>1540</v>
      </c>
      <c r="I1955" s="2">
        <v>4103</v>
      </c>
      <c r="J1955" s="2">
        <v>0</v>
      </c>
      <c r="K1955" s="2" t="s">
        <v>863</v>
      </c>
      <c r="L1955" s="43" t="s">
        <v>995</v>
      </c>
      <c r="P1955" s="41">
        <v>9</v>
      </c>
      <c r="Q1955" s="41">
        <v>6</v>
      </c>
      <c r="R1955" s="41" t="s">
        <v>1547</v>
      </c>
      <c r="S1955" t="s">
        <v>3321</v>
      </c>
      <c r="AH1955" t="s">
        <v>359</v>
      </c>
    </row>
    <row r="1956" spans="1:34" ht="15.75">
      <c r="A1956" s="29">
        <f t="shared" si="30"/>
        <v>13040</v>
      </c>
      <c r="B1956" s="2">
        <v>432</v>
      </c>
      <c r="C1956" s="2">
        <v>8</v>
      </c>
      <c r="D1956" s="2">
        <v>1817</v>
      </c>
      <c r="E1956">
        <v>7778</v>
      </c>
      <c r="H1956" t="s">
        <v>1540</v>
      </c>
      <c r="I1956" s="2">
        <v>13040</v>
      </c>
      <c r="J1956" s="2">
        <v>0</v>
      </c>
      <c r="K1956" s="2" t="s">
        <v>863</v>
      </c>
      <c r="L1956" s="43" t="s">
        <v>996</v>
      </c>
      <c r="P1956" s="41">
        <v>31</v>
      </c>
      <c r="Q1956" s="41">
        <v>8</v>
      </c>
      <c r="R1956" s="41">
        <v>47</v>
      </c>
      <c r="S1956" t="s">
        <v>3321</v>
      </c>
      <c r="AH1956" t="s">
        <v>359</v>
      </c>
    </row>
    <row r="1957" spans="1:34" ht="15.75">
      <c r="A1957" s="29">
        <f t="shared" si="30"/>
        <v>10229</v>
      </c>
      <c r="B1957" s="2">
        <v>432</v>
      </c>
      <c r="C1957" s="2">
        <v>8</v>
      </c>
      <c r="D1957" s="2">
        <v>1817</v>
      </c>
      <c r="E1957">
        <v>7779</v>
      </c>
      <c r="H1957" t="s">
        <v>1540</v>
      </c>
      <c r="I1957" s="2">
        <f>1435+98+296</f>
        <v>1829</v>
      </c>
      <c r="J1957" s="2">
        <f>130+90+200</f>
        <v>420</v>
      </c>
      <c r="K1957" s="2" t="s">
        <v>863</v>
      </c>
      <c r="L1957" s="43" t="s">
        <v>996</v>
      </c>
      <c r="P1957" s="41">
        <v>25</v>
      </c>
      <c r="Q1957" s="41">
        <v>9</v>
      </c>
      <c r="R1957" s="41">
        <v>46</v>
      </c>
      <c r="S1957" t="s">
        <v>3321</v>
      </c>
      <c r="X1957">
        <v>1</v>
      </c>
      <c r="Y1957" t="s">
        <v>4382</v>
      </c>
      <c r="AH1957" t="s">
        <v>359</v>
      </c>
    </row>
    <row r="1958" spans="1:34" ht="15.75">
      <c r="A1958" s="29">
        <f t="shared" si="30"/>
        <v>157</v>
      </c>
      <c r="B1958" s="2">
        <v>432</v>
      </c>
      <c r="C1958" s="2">
        <v>8</v>
      </c>
      <c r="D1958" s="2">
        <v>1817</v>
      </c>
      <c r="E1958">
        <v>7780</v>
      </c>
      <c r="H1958" t="s">
        <v>1540</v>
      </c>
      <c r="I1958" s="2">
        <v>157</v>
      </c>
      <c r="J1958" s="2">
        <v>0</v>
      </c>
      <c r="K1958" s="2" t="s">
        <v>863</v>
      </c>
      <c r="L1958" s="43" t="s">
        <v>4383</v>
      </c>
      <c r="P1958" s="41">
        <v>21</v>
      </c>
      <c r="Q1958" s="41">
        <v>6</v>
      </c>
      <c r="R1958" s="41">
        <v>41</v>
      </c>
      <c r="S1958" t="s">
        <v>3321</v>
      </c>
      <c r="AH1958" t="s">
        <v>359</v>
      </c>
    </row>
    <row r="1959" spans="1:34" ht="15.75">
      <c r="A1959" s="29">
        <f t="shared" si="30"/>
        <v>150</v>
      </c>
      <c r="B1959" s="2">
        <v>432</v>
      </c>
      <c r="C1959" s="2">
        <v>8</v>
      </c>
      <c r="D1959" s="2">
        <v>1817</v>
      </c>
      <c r="E1959">
        <v>7781</v>
      </c>
      <c r="H1959" t="s">
        <v>1540</v>
      </c>
      <c r="I1959" s="2">
        <v>150</v>
      </c>
      <c r="J1959" s="2">
        <v>0</v>
      </c>
      <c r="K1959" s="2" t="s">
        <v>863</v>
      </c>
      <c r="L1959" s="43" t="s">
        <v>998</v>
      </c>
      <c r="P1959" s="41">
        <v>2</v>
      </c>
      <c r="Q1959" s="41">
        <v>5</v>
      </c>
      <c r="R1959" s="41">
        <v>64</v>
      </c>
      <c r="S1959" t="s">
        <v>3324</v>
      </c>
      <c r="AH1959" t="s">
        <v>359</v>
      </c>
    </row>
    <row r="1960" spans="1:34" ht="15.75">
      <c r="A1960" s="29">
        <f t="shared" si="30"/>
        <v>12932</v>
      </c>
      <c r="B1960" s="2">
        <v>432</v>
      </c>
      <c r="C1960" s="2">
        <v>8</v>
      </c>
      <c r="D1960" s="2">
        <v>1817</v>
      </c>
      <c r="E1960">
        <v>7782</v>
      </c>
      <c r="H1960" t="s">
        <v>1540</v>
      </c>
      <c r="I1960" s="2">
        <v>12932</v>
      </c>
      <c r="J1960" s="2">
        <v>0</v>
      </c>
      <c r="K1960" s="2" t="s">
        <v>863</v>
      </c>
      <c r="L1960" s="43" t="s">
        <v>998</v>
      </c>
      <c r="P1960" s="41">
        <v>19</v>
      </c>
      <c r="Q1960" s="41">
        <v>6</v>
      </c>
      <c r="R1960" s="41">
        <v>78</v>
      </c>
      <c r="S1960" t="s">
        <v>3321</v>
      </c>
      <c r="AH1960" t="s">
        <v>359</v>
      </c>
    </row>
    <row r="1961" spans="1:34" ht="15.75">
      <c r="A1961" s="29">
        <f t="shared" si="30"/>
        <v>148</v>
      </c>
      <c r="B1961" s="2">
        <v>432</v>
      </c>
      <c r="C1961" s="2">
        <v>8</v>
      </c>
      <c r="D1961" s="2">
        <v>1817</v>
      </c>
      <c r="E1961">
        <v>7783</v>
      </c>
      <c r="H1961" t="s">
        <v>1540</v>
      </c>
      <c r="I1961" s="2">
        <v>148</v>
      </c>
      <c r="J1961" s="2">
        <v>0</v>
      </c>
      <c r="K1961" s="2" t="s">
        <v>863</v>
      </c>
      <c r="L1961" s="43" t="s">
        <v>998</v>
      </c>
      <c r="P1961" s="41">
        <v>1</v>
      </c>
      <c r="Q1961" s="41">
        <v>10</v>
      </c>
      <c r="R1961" s="41">
        <v>70</v>
      </c>
      <c r="S1961" t="s">
        <v>3321</v>
      </c>
      <c r="AH1961" t="s">
        <v>359</v>
      </c>
    </row>
    <row r="1962" spans="1:34" ht="15.75">
      <c r="A1962" s="29">
        <f t="shared" si="30"/>
        <v>822</v>
      </c>
      <c r="B1962" s="2">
        <v>432</v>
      </c>
      <c r="C1962" s="2">
        <v>8</v>
      </c>
      <c r="D1962" s="2">
        <v>1817</v>
      </c>
      <c r="E1962">
        <v>7784</v>
      </c>
      <c r="H1962" t="s">
        <v>1540</v>
      </c>
      <c r="I1962" s="2">
        <v>822</v>
      </c>
      <c r="J1962" s="2">
        <v>0</v>
      </c>
      <c r="K1962" s="2" t="s">
        <v>863</v>
      </c>
      <c r="L1962" s="43" t="s">
        <v>998</v>
      </c>
      <c r="P1962" s="41">
        <v>26</v>
      </c>
      <c r="Q1962" s="41">
        <v>7</v>
      </c>
      <c r="R1962" s="41">
        <v>52</v>
      </c>
      <c r="S1962" t="s">
        <v>3321</v>
      </c>
      <c r="AH1962" t="s">
        <v>359</v>
      </c>
    </row>
    <row r="1963" spans="1:34" ht="15.75">
      <c r="A1963" s="29">
        <f t="shared" si="30"/>
        <v>408</v>
      </c>
      <c r="B1963" s="2">
        <v>432</v>
      </c>
      <c r="C1963" s="2">
        <v>8</v>
      </c>
      <c r="D1963" s="2">
        <v>1817</v>
      </c>
      <c r="E1963">
        <v>7785</v>
      </c>
      <c r="H1963" t="s">
        <v>1540</v>
      </c>
      <c r="I1963" s="2">
        <v>408</v>
      </c>
      <c r="J1963" s="2">
        <v>0</v>
      </c>
      <c r="K1963" s="2" t="s">
        <v>863</v>
      </c>
      <c r="L1963" s="43" t="s">
        <v>998</v>
      </c>
      <c r="P1963" s="41">
        <v>2</v>
      </c>
      <c r="Q1963" s="41">
        <v>8</v>
      </c>
      <c r="R1963" s="41">
        <v>51</v>
      </c>
      <c r="S1963" t="s">
        <v>3321</v>
      </c>
      <c r="AH1963" t="s">
        <v>359</v>
      </c>
    </row>
    <row r="1964" spans="1:34" ht="15.75">
      <c r="A1964" s="29">
        <f t="shared" si="30"/>
        <v>1380</v>
      </c>
      <c r="B1964" s="2">
        <v>432</v>
      </c>
      <c r="C1964" s="2">
        <v>8</v>
      </c>
      <c r="D1964" s="2">
        <v>1817</v>
      </c>
      <c r="E1964">
        <v>7786</v>
      </c>
      <c r="H1964" t="s">
        <v>1540</v>
      </c>
      <c r="I1964" s="2">
        <v>1380</v>
      </c>
      <c r="J1964" s="2">
        <v>0</v>
      </c>
      <c r="K1964" s="2" t="s">
        <v>863</v>
      </c>
      <c r="L1964" s="43" t="s">
        <v>998</v>
      </c>
      <c r="P1964" s="41">
        <v>25</v>
      </c>
      <c r="Q1964" s="41">
        <v>12</v>
      </c>
      <c r="R1964" s="41">
        <v>24</v>
      </c>
      <c r="S1964" t="s">
        <v>884</v>
      </c>
      <c r="AH1964" t="s">
        <v>359</v>
      </c>
    </row>
    <row r="1965" spans="1:34" ht="15.75">
      <c r="A1965" s="29">
        <f t="shared" si="30"/>
        <v>6150</v>
      </c>
      <c r="B1965" s="2">
        <v>432</v>
      </c>
      <c r="C1965" s="2">
        <v>8</v>
      </c>
      <c r="D1965" s="2">
        <v>1817</v>
      </c>
      <c r="E1965">
        <v>7787</v>
      </c>
      <c r="H1965" t="s">
        <v>1541</v>
      </c>
      <c r="I1965" s="2">
        <v>6150</v>
      </c>
      <c r="J1965" s="2">
        <v>0</v>
      </c>
      <c r="K1965" s="2" t="s">
        <v>863</v>
      </c>
      <c r="L1965" s="43" t="s">
        <v>998</v>
      </c>
      <c r="P1965" s="41">
        <v>7</v>
      </c>
      <c r="Q1965" s="41">
        <v>11</v>
      </c>
      <c r="R1965" s="41">
        <v>44</v>
      </c>
      <c r="S1965" t="s">
        <v>3321</v>
      </c>
      <c r="AH1965" t="s">
        <v>359</v>
      </c>
    </row>
    <row r="1966" spans="1:34" ht="15.75">
      <c r="A1966" s="29">
        <f t="shared" si="30"/>
        <v>3705</v>
      </c>
      <c r="B1966" s="2">
        <v>432</v>
      </c>
      <c r="C1966" s="2">
        <v>8</v>
      </c>
      <c r="D1966" s="2">
        <v>1817</v>
      </c>
      <c r="E1966">
        <v>7788</v>
      </c>
      <c r="H1966" t="s">
        <v>1540</v>
      </c>
      <c r="I1966" s="2">
        <v>3705</v>
      </c>
      <c r="J1966" s="2">
        <v>0</v>
      </c>
      <c r="K1966" s="2" t="s">
        <v>863</v>
      </c>
      <c r="L1966" s="43" t="s">
        <v>1000</v>
      </c>
      <c r="P1966" s="41">
        <v>4</v>
      </c>
      <c r="Q1966" s="41">
        <v>2</v>
      </c>
      <c r="R1966" s="41" t="s">
        <v>1547</v>
      </c>
      <c r="S1966" t="s">
        <v>3324</v>
      </c>
      <c r="AH1966" t="s">
        <v>359</v>
      </c>
    </row>
    <row r="1967" spans="1:34" ht="15.75">
      <c r="A1967" s="29">
        <f t="shared" si="30"/>
        <v>2630</v>
      </c>
      <c r="B1967" s="2">
        <v>432</v>
      </c>
      <c r="C1967" s="2">
        <v>8</v>
      </c>
      <c r="D1967" s="2">
        <v>1817</v>
      </c>
      <c r="E1967">
        <v>7789</v>
      </c>
      <c r="H1967" t="s">
        <v>1540</v>
      </c>
      <c r="I1967" s="2">
        <f>630+2000</f>
        <v>2630</v>
      </c>
      <c r="J1967" s="2">
        <v>0</v>
      </c>
      <c r="K1967" s="2" t="s">
        <v>863</v>
      </c>
      <c r="L1967" s="43" t="s">
        <v>4384</v>
      </c>
      <c r="P1967" s="41">
        <v>31</v>
      </c>
      <c r="Q1967" s="41">
        <v>1</v>
      </c>
      <c r="R1967" s="41">
        <v>43</v>
      </c>
      <c r="S1967" t="s">
        <v>3321</v>
      </c>
      <c r="AH1967" t="s">
        <v>359</v>
      </c>
    </row>
    <row r="1968" spans="1:34" ht="15.75">
      <c r="A1968" s="29">
        <f t="shared" si="30"/>
        <v>25</v>
      </c>
      <c r="B1968" s="2">
        <v>432</v>
      </c>
      <c r="C1968" s="2">
        <v>8</v>
      </c>
      <c r="D1968" s="2">
        <v>1817</v>
      </c>
      <c r="E1968">
        <v>7791</v>
      </c>
      <c r="H1968" t="s">
        <v>1540</v>
      </c>
      <c r="I1968" s="2">
        <v>25</v>
      </c>
      <c r="J1968" s="2">
        <v>0</v>
      </c>
      <c r="K1968" s="2" t="s">
        <v>863</v>
      </c>
      <c r="L1968" s="43" t="s">
        <v>1001</v>
      </c>
      <c r="P1968" s="41">
        <v>18</v>
      </c>
      <c r="Q1968" s="41">
        <v>8</v>
      </c>
      <c r="R1968" s="41">
        <v>18</v>
      </c>
      <c r="S1968" t="s">
        <v>3343</v>
      </c>
      <c r="AH1968" t="s">
        <v>359</v>
      </c>
    </row>
    <row r="1969" spans="1:34" ht="15.75">
      <c r="A1969" s="29">
        <f t="shared" si="30"/>
        <v>5946</v>
      </c>
      <c r="B1969" s="2">
        <v>432</v>
      </c>
      <c r="C1969" s="2">
        <v>8</v>
      </c>
      <c r="D1969" s="2">
        <v>1817</v>
      </c>
      <c r="E1969">
        <v>7792</v>
      </c>
      <c r="H1969" t="s">
        <v>1540</v>
      </c>
      <c r="I1969" s="2">
        <v>5946</v>
      </c>
      <c r="J1969" s="2">
        <v>0</v>
      </c>
      <c r="K1969" s="2" t="s">
        <v>863</v>
      </c>
      <c r="L1969" s="43" t="s">
        <v>4389</v>
      </c>
      <c r="P1969" s="41">
        <v>1</v>
      </c>
      <c r="Q1969" s="41">
        <v>5</v>
      </c>
      <c r="R1969" s="41">
        <v>32</v>
      </c>
      <c r="S1969" t="s">
        <v>3321</v>
      </c>
      <c r="AH1969" t="s">
        <v>359</v>
      </c>
    </row>
    <row r="1970" spans="1:34" ht="15.75">
      <c r="A1970" s="29">
        <f t="shared" si="30"/>
        <v>20468</v>
      </c>
      <c r="B1970" s="8">
        <v>432</v>
      </c>
      <c r="C1970" s="8">
        <v>8</v>
      </c>
      <c r="D1970" s="8">
        <v>1817</v>
      </c>
      <c r="E1970">
        <v>7793</v>
      </c>
      <c r="F1970" s="9"/>
      <c r="G1970" s="9"/>
      <c r="H1970" s="9" t="s">
        <v>1540</v>
      </c>
      <c r="I1970" s="8">
        <v>20468</v>
      </c>
      <c r="J1970" s="8">
        <v>0</v>
      </c>
      <c r="K1970" s="2" t="s">
        <v>863</v>
      </c>
      <c r="L1970" s="43" t="s">
        <v>4390</v>
      </c>
      <c r="M1970" s="41" t="s">
        <v>4391</v>
      </c>
      <c r="N1970" s="41" t="s">
        <v>5833</v>
      </c>
      <c r="O1970" s="41" t="s">
        <v>4392</v>
      </c>
      <c r="P1970" s="41">
        <v>10</v>
      </c>
      <c r="Q1970" s="41">
        <v>4</v>
      </c>
      <c r="R1970" s="41">
        <v>48</v>
      </c>
      <c r="S1970" t="s">
        <v>3343</v>
      </c>
      <c r="T1970" t="s">
        <v>4394</v>
      </c>
      <c r="U1970" t="s">
        <v>4393</v>
      </c>
      <c r="V1970" t="s">
        <v>4395</v>
      </c>
      <c r="AH1970" t="s">
        <v>359</v>
      </c>
    </row>
    <row r="1971" spans="1:34" ht="15.75">
      <c r="A1971" s="29">
        <f t="shared" si="30"/>
        <v>947</v>
      </c>
      <c r="B1971" s="2">
        <v>432</v>
      </c>
      <c r="C1971" s="2">
        <v>8</v>
      </c>
      <c r="D1971" s="2">
        <v>1817</v>
      </c>
      <c r="E1971">
        <v>7794</v>
      </c>
      <c r="H1971" t="s">
        <v>1540</v>
      </c>
      <c r="I1971" s="2">
        <v>947</v>
      </c>
      <c r="J1971" s="2">
        <v>0</v>
      </c>
      <c r="K1971" s="2" t="s">
        <v>863</v>
      </c>
      <c r="L1971" s="43" t="s">
        <v>4389</v>
      </c>
      <c r="P1971" s="41">
        <v>3</v>
      </c>
      <c r="Q1971" s="41">
        <v>12</v>
      </c>
      <c r="R1971" s="41">
        <v>39</v>
      </c>
      <c r="S1971" t="s">
        <v>884</v>
      </c>
      <c r="AH1971" t="s">
        <v>359</v>
      </c>
    </row>
    <row r="1972" spans="1:34" ht="15.75">
      <c r="A1972" s="29">
        <f t="shared" si="30"/>
        <v>30000</v>
      </c>
      <c r="B1972" s="2">
        <v>432</v>
      </c>
      <c r="C1972" s="2">
        <v>8</v>
      </c>
      <c r="D1972" s="2">
        <v>1817</v>
      </c>
      <c r="E1972">
        <v>7796</v>
      </c>
      <c r="H1972" t="s">
        <v>1541</v>
      </c>
      <c r="I1972" s="2">
        <v>30000</v>
      </c>
      <c r="J1972" s="2">
        <v>0</v>
      </c>
      <c r="K1972" s="2" t="s">
        <v>863</v>
      </c>
      <c r="L1972" s="43" t="s">
        <v>4400</v>
      </c>
      <c r="M1972" s="41" t="s">
        <v>4401</v>
      </c>
      <c r="O1972" s="41" t="s">
        <v>4402</v>
      </c>
      <c r="P1972" s="41">
        <v>12</v>
      </c>
      <c r="Q1972" s="41">
        <v>17</v>
      </c>
      <c r="R1972" s="41">
        <v>21</v>
      </c>
      <c r="S1972" t="s">
        <v>4403</v>
      </c>
      <c r="T1972" t="s">
        <v>4104</v>
      </c>
      <c r="V1972" t="s">
        <v>4404</v>
      </c>
      <c r="AH1972" t="s">
        <v>359</v>
      </c>
    </row>
    <row r="1973" spans="1:34" ht="15.75">
      <c r="A1973" s="29">
        <f t="shared" si="30"/>
        <v>1087</v>
      </c>
      <c r="B1973" s="2">
        <v>432</v>
      </c>
      <c r="C1973" s="2">
        <v>8</v>
      </c>
      <c r="D1973" s="2">
        <v>1817</v>
      </c>
      <c r="E1973">
        <v>7797</v>
      </c>
      <c r="H1973" t="s">
        <v>1541</v>
      </c>
      <c r="I1973" s="2">
        <v>1087</v>
      </c>
      <c r="J1973" s="2">
        <v>0</v>
      </c>
      <c r="K1973" s="2" t="s">
        <v>863</v>
      </c>
      <c r="L1973" s="43" t="s">
        <v>4405</v>
      </c>
      <c r="P1973" s="41">
        <v>22</v>
      </c>
      <c r="Q1973" s="41">
        <v>4</v>
      </c>
      <c r="R1973" s="41">
        <v>46</v>
      </c>
      <c r="S1973" t="s">
        <v>3321</v>
      </c>
      <c r="AH1973" t="s">
        <v>359</v>
      </c>
    </row>
    <row r="1974" spans="1:34" ht="15.75">
      <c r="A1974" s="29">
        <f t="shared" si="30"/>
        <v>1707</v>
      </c>
      <c r="B1974" s="2">
        <v>432</v>
      </c>
      <c r="C1974" s="2">
        <v>8</v>
      </c>
      <c r="D1974" s="2">
        <v>1817</v>
      </c>
      <c r="E1974">
        <v>7798</v>
      </c>
      <c r="H1974" t="s">
        <v>1541</v>
      </c>
      <c r="I1974" s="2">
        <v>1707</v>
      </c>
      <c r="J1974" s="2">
        <v>0</v>
      </c>
      <c r="K1974" s="2" t="s">
        <v>863</v>
      </c>
      <c r="L1974" s="43" t="s">
        <v>1003</v>
      </c>
      <c r="P1974" s="41">
        <v>11</v>
      </c>
      <c r="Q1974" s="41">
        <v>3</v>
      </c>
      <c r="R1974" s="41">
        <v>50</v>
      </c>
      <c r="S1974" t="s">
        <v>3329</v>
      </c>
      <c r="AH1974" t="s">
        <v>359</v>
      </c>
    </row>
    <row r="1975" spans="1:34" ht="15.75">
      <c r="A1975" s="29">
        <f t="shared" si="30"/>
        <v>310</v>
      </c>
      <c r="B1975" s="2">
        <v>433</v>
      </c>
      <c r="C1975" s="2">
        <v>8</v>
      </c>
      <c r="D1975" s="2">
        <v>1817</v>
      </c>
      <c r="E1975">
        <v>7826</v>
      </c>
      <c r="H1975" t="s">
        <v>1541</v>
      </c>
      <c r="I1975" s="2">
        <v>310</v>
      </c>
      <c r="J1975" s="2">
        <v>0</v>
      </c>
      <c r="K1975" s="2" t="s">
        <v>863</v>
      </c>
      <c r="L1975" s="43" t="s">
        <v>1308</v>
      </c>
      <c r="P1975" s="41">
        <v>4</v>
      </c>
      <c r="Q1975" s="41">
        <v>1</v>
      </c>
      <c r="R1975" s="41">
        <v>81</v>
      </c>
      <c r="S1975" t="s">
        <v>3343</v>
      </c>
      <c r="AH1975" t="s">
        <v>359</v>
      </c>
    </row>
    <row r="1976" spans="1:34" ht="15.75">
      <c r="A1976" s="29">
        <f t="shared" si="30"/>
        <v>861</v>
      </c>
      <c r="B1976" s="2">
        <v>433</v>
      </c>
      <c r="C1976" s="2">
        <v>8</v>
      </c>
      <c r="D1976" s="2">
        <v>1817</v>
      </c>
      <c r="E1976">
        <v>7827</v>
      </c>
      <c r="H1976" t="s">
        <v>1541</v>
      </c>
      <c r="I1976" s="2">
        <v>861</v>
      </c>
      <c r="J1976" s="2">
        <v>0</v>
      </c>
      <c r="K1976" s="2" t="s">
        <v>863</v>
      </c>
      <c r="L1976" s="43" t="s">
        <v>1308</v>
      </c>
      <c r="P1976" s="41">
        <v>9</v>
      </c>
      <c r="Q1976" s="41">
        <v>4</v>
      </c>
      <c r="R1976" s="41">
        <v>70</v>
      </c>
      <c r="S1976" t="s">
        <v>3329</v>
      </c>
      <c r="AH1976" t="s">
        <v>359</v>
      </c>
    </row>
    <row r="1977" spans="1:34" ht="15.75">
      <c r="A1977" s="29">
        <f t="shared" si="30"/>
        <v>240</v>
      </c>
      <c r="B1977" s="2">
        <v>433</v>
      </c>
      <c r="C1977" s="2">
        <v>8</v>
      </c>
      <c r="D1977" s="2">
        <v>1817</v>
      </c>
      <c r="E1977">
        <v>7828</v>
      </c>
      <c r="H1977" t="s">
        <v>1541</v>
      </c>
      <c r="I1977" s="2">
        <v>240</v>
      </c>
      <c r="J1977" s="2">
        <v>0</v>
      </c>
      <c r="K1977" s="2" t="s">
        <v>863</v>
      </c>
      <c r="L1977" s="43" t="s">
        <v>1309</v>
      </c>
      <c r="P1977" s="41">
        <v>4</v>
      </c>
      <c r="Q1977" s="41">
        <v>7</v>
      </c>
      <c r="R1977" s="41">
        <v>47</v>
      </c>
      <c r="S1977" t="s">
        <v>3321</v>
      </c>
      <c r="AH1977" t="s">
        <v>359</v>
      </c>
    </row>
    <row r="1978" spans="1:34" ht="15.75">
      <c r="A1978" s="29">
        <f t="shared" si="30"/>
        <v>23340</v>
      </c>
      <c r="B1978" s="2">
        <v>433</v>
      </c>
      <c r="C1978" s="2">
        <v>8</v>
      </c>
      <c r="D1978" s="2">
        <v>1817</v>
      </c>
      <c r="E1978">
        <v>7829</v>
      </c>
      <c r="H1978" t="s">
        <v>1541</v>
      </c>
      <c r="I1978" s="2">
        <v>23340</v>
      </c>
      <c r="J1978" s="2">
        <v>0</v>
      </c>
      <c r="K1978" s="2" t="s">
        <v>863</v>
      </c>
      <c r="L1978" s="43" t="s">
        <v>4406</v>
      </c>
      <c r="M1978" s="41" t="s">
        <v>2976</v>
      </c>
      <c r="N1978" s="41" t="s">
        <v>4407</v>
      </c>
      <c r="O1978" s="41" t="s">
        <v>1774</v>
      </c>
      <c r="P1978" s="41">
        <v>30</v>
      </c>
      <c r="Q1978" s="41">
        <v>9</v>
      </c>
      <c r="R1978" s="41">
        <v>49</v>
      </c>
      <c r="S1978" t="s">
        <v>4408</v>
      </c>
      <c r="T1978" t="s">
        <v>1215</v>
      </c>
      <c r="V1978" t="s">
        <v>4115</v>
      </c>
      <c r="AH1978" t="s">
        <v>359</v>
      </c>
    </row>
    <row r="1979" spans="1:34" ht="15.75">
      <c r="A1979" s="29">
        <f t="shared" si="30"/>
        <v>15115</v>
      </c>
      <c r="B1979" s="2">
        <v>433</v>
      </c>
      <c r="C1979" s="2">
        <v>8</v>
      </c>
      <c r="D1979" s="2">
        <v>1817</v>
      </c>
      <c r="E1979">
        <v>7830</v>
      </c>
      <c r="H1979" t="s">
        <v>1541</v>
      </c>
      <c r="I1979" s="2">
        <v>15115</v>
      </c>
      <c r="J1979" s="2">
        <v>0</v>
      </c>
      <c r="K1979" s="2" t="s">
        <v>863</v>
      </c>
      <c r="L1979" s="43" t="s">
        <v>1311</v>
      </c>
      <c r="P1979" s="41">
        <v>27</v>
      </c>
      <c r="Q1979" s="41">
        <v>7</v>
      </c>
      <c r="R1979" s="41">
        <v>44</v>
      </c>
      <c r="S1979" t="s">
        <v>3321</v>
      </c>
      <c r="AH1979" t="s">
        <v>359</v>
      </c>
    </row>
    <row r="1980" spans="1:34" ht="15.75">
      <c r="A1980" s="29">
        <f t="shared" si="30"/>
        <v>60</v>
      </c>
      <c r="B1980" s="2">
        <v>433</v>
      </c>
      <c r="C1980" s="2">
        <v>8</v>
      </c>
      <c r="D1980" s="2">
        <v>1817</v>
      </c>
      <c r="E1980">
        <v>7831</v>
      </c>
      <c r="H1980" t="s">
        <v>1541</v>
      </c>
      <c r="I1980" s="2">
        <v>60</v>
      </c>
      <c r="J1980" s="2">
        <v>0</v>
      </c>
      <c r="K1980" s="2" t="s">
        <v>863</v>
      </c>
      <c r="L1980" s="43" t="s">
        <v>1311</v>
      </c>
      <c r="P1980" s="41">
        <v>16</v>
      </c>
      <c r="Q1980" s="41">
        <v>9</v>
      </c>
      <c r="R1980" s="41">
        <v>29</v>
      </c>
      <c r="S1980" t="s">
        <v>3321</v>
      </c>
      <c r="AH1980" t="s">
        <v>359</v>
      </c>
    </row>
    <row r="1981" spans="1:34" ht="15.75">
      <c r="A1981" s="29">
        <f t="shared" si="30"/>
        <v>1229</v>
      </c>
      <c r="B1981" s="2">
        <v>433</v>
      </c>
      <c r="C1981" s="2">
        <v>8</v>
      </c>
      <c r="D1981" s="2">
        <v>1817</v>
      </c>
      <c r="E1981">
        <v>7832</v>
      </c>
      <c r="H1981" t="s">
        <v>1540</v>
      </c>
      <c r="I1981" s="2">
        <v>1229</v>
      </c>
      <c r="J1981" s="2">
        <v>0</v>
      </c>
      <c r="K1981" s="2" t="s">
        <v>863</v>
      </c>
      <c r="L1981" s="43" t="s">
        <v>1311</v>
      </c>
      <c r="P1981" s="41">
        <v>5</v>
      </c>
      <c r="Q1981" s="41">
        <v>10</v>
      </c>
      <c r="R1981" s="41">
        <v>63</v>
      </c>
      <c r="S1981" t="s">
        <v>3321</v>
      </c>
      <c r="AH1981" t="s">
        <v>359</v>
      </c>
    </row>
    <row r="1982" spans="1:34" ht="15.75">
      <c r="A1982" s="29">
        <f t="shared" si="30"/>
        <v>12040</v>
      </c>
      <c r="B1982" s="2">
        <v>433</v>
      </c>
      <c r="C1982" s="2">
        <v>8</v>
      </c>
      <c r="D1982" s="2">
        <v>1817</v>
      </c>
      <c r="E1982">
        <v>7833</v>
      </c>
      <c r="H1982" t="s">
        <v>1540</v>
      </c>
      <c r="I1982" s="2">
        <v>0</v>
      </c>
      <c r="J1982" s="2">
        <v>602</v>
      </c>
      <c r="K1982" s="2" t="s">
        <v>863</v>
      </c>
      <c r="L1982" s="43" t="s">
        <v>4316</v>
      </c>
      <c r="O1982" s="41" t="s">
        <v>4409</v>
      </c>
      <c r="P1982" s="41">
        <v>1</v>
      </c>
      <c r="Q1982" s="41">
        <v>12</v>
      </c>
      <c r="R1982" s="41" t="s">
        <v>1547</v>
      </c>
      <c r="S1982" t="s">
        <v>3321</v>
      </c>
      <c r="X1982">
        <v>1</v>
      </c>
      <c r="Y1982" t="s">
        <v>4410</v>
      </c>
      <c r="AH1982" t="s">
        <v>359</v>
      </c>
    </row>
    <row r="1983" spans="1:34" ht="15.75">
      <c r="A1983" s="29">
        <f t="shared" si="30"/>
        <v>1450</v>
      </c>
      <c r="B1983" s="2">
        <v>433</v>
      </c>
      <c r="C1983" s="2">
        <v>8</v>
      </c>
      <c r="D1983" s="2">
        <v>1817</v>
      </c>
      <c r="E1983">
        <v>7834</v>
      </c>
      <c r="H1983" t="s">
        <v>1541</v>
      </c>
      <c r="I1983" s="2">
        <v>1450</v>
      </c>
      <c r="J1983" s="2">
        <v>0</v>
      </c>
      <c r="K1983" s="2" t="s">
        <v>863</v>
      </c>
      <c r="L1983" s="43" t="s">
        <v>1365</v>
      </c>
      <c r="P1983" s="41">
        <v>20</v>
      </c>
      <c r="Q1983" s="41">
        <v>3</v>
      </c>
      <c r="R1983" s="41">
        <v>65</v>
      </c>
      <c r="S1983" t="s">
        <v>3321</v>
      </c>
      <c r="AH1983" t="s">
        <v>359</v>
      </c>
    </row>
    <row r="1984" spans="1:34" ht="15.75">
      <c r="A1984" s="29">
        <f t="shared" si="30"/>
        <v>197</v>
      </c>
      <c r="B1984" s="2">
        <v>433</v>
      </c>
      <c r="C1984" s="2">
        <v>8</v>
      </c>
      <c r="D1984" s="2">
        <v>1817</v>
      </c>
      <c r="E1984">
        <v>7835</v>
      </c>
      <c r="H1984" t="s">
        <v>1541</v>
      </c>
      <c r="I1984" s="2">
        <v>197</v>
      </c>
      <c r="J1984" s="2">
        <v>0</v>
      </c>
      <c r="K1984" s="2" t="s">
        <v>863</v>
      </c>
      <c r="L1984" s="43" t="s">
        <v>1365</v>
      </c>
      <c r="P1984" s="41">
        <v>11</v>
      </c>
      <c r="Q1984" s="41">
        <v>6</v>
      </c>
      <c r="R1984" s="41">
        <v>52</v>
      </c>
      <c r="S1984" t="s">
        <v>3343</v>
      </c>
      <c r="AH1984" t="s">
        <v>359</v>
      </c>
    </row>
    <row r="1985" spans="1:34" ht="15.75">
      <c r="A1985" s="29">
        <f t="shared" si="30"/>
        <v>203080</v>
      </c>
      <c r="B1985" s="2">
        <v>433</v>
      </c>
      <c r="C1985" s="2">
        <v>8</v>
      </c>
      <c r="D1985" s="2">
        <v>1817</v>
      </c>
      <c r="E1985">
        <v>7836</v>
      </c>
      <c r="H1985" t="s">
        <v>1540</v>
      </c>
      <c r="I1985" s="2">
        <f>40680+2400</f>
        <v>43080</v>
      </c>
      <c r="J1985" s="2">
        <v>8000</v>
      </c>
      <c r="K1985" s="2" t="s">
        <v>863</v>
      </c>
      <c r="L1985" s="43" t="s">
        <v>4411</v>
      </c>
      <c r="M1985" s="41" t="s">
        <v>2942</v>
      </c>
      <c r="N1985" s="41" t="s">
        <v>4412</v>
      </c>
      <c r="O1985" s="41" t="s">
        <v>4413</v>
      </c>
      <c r="P1985" s="41">
        <v>24</v>
      </c>
      <c r="Q1985" s="41">
        <v>11</v>
      </c>
      <c r="R1985" s="41">
        <v>54</v>
      </c>
      <c r="S1985" t="s">
        <v>4414</v>
      </c>
      <c r="T1985" t="s">
        <v>4415</v>
      </c>
      <c r="U1985" t="s">
        <v>4333</v>
      </c>
      <c r="V1985" t="s">
        <v>4416</v>
      </c>
      <c r="X1985">
        <v>1</v>
      </c>
      <c r="Y1985" t="s">
        <v>4417</v>
      </c>
      <c r="AH1985" t="s">
        <v>359</v>
      </c>
    </row>
    <row r="1986" spans="1:34" ht="15.75">
      <c r="A1986" s="29">
        <f aca="true" t="shared" si="31" ref="A1986:A2049">I1986+J1986*20*X1986</f>
        <v>3147</v>
      </c>
      <c r="B1986" s="2">
        <v>433</v>
      </c>
      <c r="C1986" s="2">
        <v>8</v>
      </c>
      <c r="D1986" s="2">
        <v>1817</v>
      </c>
      <c r="E1986">
        <v>7837</v>
      </c>
      <c r="H1986" t="s">
        <v>1541</v>
      </c>
      <c r="I1986" s="2">
        <v>3147</v>
      </c>
      <c r="J1986" s="2">
        <v>0</v>
      </c>
      <c r="K1986" s="2" t="s">
        <v>863</v>
      </c>
      <c r="L1986" s="43" t="s">
        <v>1372</v>
      </c>
      <c r="P1986" s="41">
        <v>18</v>
      </c>
      <c r="Q1986" s="41">
        <v>4</v>
      </c>
      <c r="R1986" s="41">
        <v>22</v>
      </c>
      <c r="S1986" t="s">
        <v>3321</v>
      </c>
      <c r="AH1986" t="s">
        <v>359</v>
      </c>
    </row>
    <row r="1987" spans="1:34" ht="15.75">
      <c r="A1987" s="29">
        <f t="shared" si="31"/>
        <v>237</v>
      </c>
      <c r="B1987" s="2">
        <v>433</v>
      </c>
      <c r="C1987" s="2">
        <v>8</v>
      </c>
      <c r="D1987" s="2">
        <v>1817</v>
      </c>
      <c r="E1987">
        <v>7838</v>
      </c>
      <c r="H1987" t="s">
        <v>1540</v>
      </c>
      <c r="I1987" s="2">
        <v>237</v>
      </c>
      <c r="J1987" s="2">
        <v>0</v>
      </c>
      <c r="K1987" s="2" t="s">
        <v>863</v>
      </c>
      <c r="L1987" s="43" t="s">
        <v>5230</v>
      </c>
      <c r="P1987" s="41">
        <v>17</v>
      </c>
      <c r="Q1987" s="41">
        <v>11</v>
      </c>
      <c r="R1987" s="41" t="s">
        <v>1547</v>
      </c>
      <c r="S1987" t="s">
        <v>3321</v>
      </c>
      <c r="T1987" t="s">
        <v>3632</v>
      </c>
      <c r="AH1987" t="s">
        <v>359</v>
      </c>
    </row>
    <row r="1988" spans="1:34" ht="15.75">
      <c r="A1988" s="29">
        <f t="shared" si="31"/>
        <v>1120</v>
      </c>
      <c r="B1988" s="2">
        <v>433</v>
      </c>
      <c r="C1988" s="2">
        <v>8</v>
      </c>
      <c r="D1988" s="2">
        <v>1817</v>
      </c>
      <c r="E1988">
        <v>7839</v>
      </c>
      <c r="H1988" t="s">
        <v>1541</v>
      </c>
      <c r="I1988" s="2">
        <v>1120</v>
      </c>
      <c r="J1988" s="2">
        <v>0</v>
      </c>
      <c r="K1988" s="2" t="s">
        <v>863</v>
      </c>
      <c r="L1988" s="43" t="s">
        <v>1006</v>
      </c>
      <c r="P1988" s="41">
        <v>9</v>
      </c>
      <c r="Q1988" s="41">
        <v>3</v>
      </c>
      <c r="R1988" s="41">
        <v>43</v>
      </c>
      <c r="S1988" t="s">
        <v>3329</v>
      </c>
      <c r="AH1988" t="s">
        <v>359</v>
      </c>
    </row>
    <row r="1989" spans="1:34" ht="15.75">
      <c r="A1989" s="29">
        <f t="shared" si="31"/>
        <v>1270</v>
      </c>
      <c r="B1989" s="2">
        <v>434</v>
      </c>
      <c r="C1989" s="2">
        <v>8</v>
      </c>
      <c r="D1989" s="2">
        <v>1817</v>
      </c>
      <c r="E1989">
        <v>7865</v>
      </c>
      <c r="H1989" t="s">
        <v>1540</v>
      </c>
      <c r="I1989" s="2">
        <v>1270</v>
      </c>
      <c r="J1989" s="2">
        <v>0</v>
      </c>
      <c r="K1989" s="2" t="s">
        <v>884</v>
      </c>
      <c r="L1989" s="43" t="s">
        <v>1312</v>
      </c>
      <c r="P1989" s="41">
        <v>29</v>
      </c>
      <c r="Q1989" s="41">
        <v>7</v>
      </c>
      <c r="R1989" s="41">
        <v>56</v>
      </c>
      <c r="S1989" t="s">
        <v>3321</v>
      </c>
      <c r="AH1989" t="s">
        <v>359</v>
      </c>
    </row>
    <row r="1990" spans="1:34" ht="15.75">
      <c r="A1990" s="29">
        <f t="shared" si="31"/>
        <v>141</v>
      </c>
      <c r="B1990" s="2">
        <v>434</v>
      </c>
      <c r="C1990" s="2">
        <v>8</v>
      </c>
      <c r="D1990" s="2">
        <v>1817</v>
      </c>
      <c r="E1990">
        <v>7866</v>
      </c>
      <c r="H1990" t="s">
        <v>1540</v>
      </c>
      <c r="I1990" s="2">
        <v>141</v>
      </c>
      <c r="J1990" s="2">
        <v>0</v>
      </c>
      <c r="K1990" s="2" t="s">
        <v>884</v>
      </c>
      <c r="L1990" s="43" t="s">
        <v>2777</v>
      </c>
      <c r="P1990" s="41">
        <v>14</v>
      </c>
      <c r="Q1990" s="41">
        <v>5</v>
      </c>
      <c r="R1990" s="41">
        <v>59</v>
      </c>
      <c r="S1990" t="s">
        <v>3321</v>
      </c>
      <c r="AH1990" t="s">
        <v>359</v>
      </c>
    </row>
    <row r="1991" spans="1:34" ht="15.75">
      <c r="A1991" s="29">
        <f t="shared" si="31"/>
        <v>109</v>
      </c>
      <c r="B1991" s="22">
        <v>434</v>
      </c>
      <c r="C1991" s="2">
        <v>8</v>
      </c>
      <c r="D1991" s="2">
        <v>1817</v>
      </c>
      <c r="E1991">
        <v>7867</v>
      </c>
      <c r="H1991" s="16" t="s">
        <v>1540</v>
      </c>
      <c r="I1991" s="22">
        <v>109</v>
      </c>
      <c r="J1991" s="22">
        <v>0</v>
      </c>
      <c r="K1991" s="22" t="s">
        <v>884</v>
      </c>
      <c r="M1991" s="45"/>
      <c r="N1991" s="45"/>
      <c r="O1991" s="45"/>
      <c r="P1991" s="45"/>
      <c r="Q1991" s="45"/>
      <c r="R1991" s="45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t="s">
        <v>359</v>
      </c>
    </row>
    <row r="1992" spans="1:34" ht="15.75">
      <c r="A1992" s="29">
        <f t="shared" si="31"/>
        <v>188</v>
      </c>
      <c r="B1992" s="2">
        <v>434</v>
      </c>
      <c r="C1992" s="2">
        <v>8</v>
      </c>
      <c r="D1992" s="2">
        <v>1817</v>
      </c>
      <c r="E1992">
        <v>7868</v>
      </c>
      <c r="H1992" t="s">
        <v>1541</v>
      </c>
      <c r="I1992" s="2">
        <v>188</v>
      </c>
      <c r="J1992" s="2">
        <v>0</v>
      </c>
      <c r="K1992" s="2" t="s">
        <v>884</v>
      </c>
      <c r="L1992" s="43" t="s">
        <v>5700</v>
      </c>
      <c r="P1992" s="41">
        <v>15</v>
      </c>
      <c r="Q1992" s="41">
        <v>3</v>
      </c>
      <c r="R1992" s="41">
        <v>61</v>
      </c>
      <c r="S1992" t="s">
        <v>3321</v>
      </c>
      <c r="AH1992" t="s">
        <v>359</v>
      </c>
    </row>
    <row r="1993" spans="1:34" ht="15.75">
      <c r="A1993" s="29">
        <f t="shared" si="31"/>
        <v>2261</v>
      </c>
      <c r="B1993" s="2">
        <v>434</v>
      </c>
      <c r="C1993" s="2">
        <v>8</v>
      </c>
      <c r="D1993" s="2">
        <v>1817</v>
      </c>
      <c r="E1993">
        <v>7869</v>
      </c>
      <c r="H1993" t="s">
        <v>1541</v>
      </c>
      <c r="I1993" s="2">
        <v>2261</v>
      </c>
      <c r="J1993" s="2">
        <v>0</v>
      </c>
      <c r="K1993" s="2" t="s">
        <v>884</v>
      </c>
      <c r="L1993" s="43" t="s">
        <v>5702</v>
      </c>
      <c r="P1993" s="41">
        <v>7</v>
      </c>
      <c r="Q1993" s="41">
        <v>7</v>
      </c>
      <c r="R1993" s="41">
        <v>71</v>
      </c>
      <c r="S1993" t="s">
        <v>3329</v>
      </c>
      <c r="AH1993" t="s">
        <v>359</v>
      </c>
    </row>
    <row r="1994" spans="1:34" ht="15.75">
      <c r="A1994" s="29">
        <f t="shared" si="31"/>
        <v>2031</v>
      </c>
      <c r="B1994" s="2">
        <v>434</v>
      </c>
      <c r="C1994" s="2">
        <v>8</v>
      </c>
      <c r="D1994" s="2">
        <v>1817</v>
      </c>
      <c r="E1994">
        <v>7870</v>
      </c>
      <c r="H1994" t="s">
        <v>1541</v>
      </c>
      <c r="I1994" s="2">
        <f>1731+300</f>
        <v>2031</v>
      </c>
      <c r="J1994" s="2">
        <v>0</v>
      </c>
      <c r="K1994" s="2" t="s">
        <v>884</v>
      </c>
      <c r="L1994" s="43" t="s">
        <v>5702</v>
      </c>
      <c r="P1994" s="41">
        <v>24</v>
      </c>
      <c r="Q1994" s="41">
        <v>12</v>
      </c>
      <c r="R1994" s="41">
        <v>24</v>
      </c>
      <c r="S1994" t="s">
        <v>3321</v>
      </c>
      <c r="AH1994" t="s">
        <v>359</v>
      </c>
    </row>
    <row r="1995" spans="1:34" ht="15.75">
      <c r="A1995" s="29">
        <f t="shared" si="31"/>
        <v>4200</v>
      </c>
      <c r="B1995" s="2">
        <v>434</v>
      </c>
      <c r="C1995" s="2">
        <v>8</v>
      </c>
      <c r="D1995" s="2">
        <v>1817</v>
      </c>
      <c r="E1995">
        <v>7871</v>
      </c>
      <c r="H1995" t="s">
        <v>1541</v>
      </c>
      <c r="I1995" s="2">
        <v>4200</v>
      </c>
      <c r="J1995" s="2">
        <v>0</v>
      </c>
      <c r="K1995" s="2" t="s">
        <v>884</v>
      </c>
      <c r="L1995" s="43" t="s">
        <v>5702</v>
      </c>
      <c r="P1995" s="41">
        <v>29</v>
      </c>
      <c r="Q1995" s="41">
        <v>12</v>
      </c>
      <c r="R1995" s="41">
        <v>29</v>
      </c>
      <c r="S1995" t="s">
        <v>3321</v>
      </c>
      <c r="AH1995" t="s">
        <v>359</v>
      </c>
    </row>
    <row r="1996" spans="1:34" ht="15.75">
      <c r="A1996" s="29">
        <f t="shared" si="31"/>
        <v>27</v>
      </c>
      <c r="B1996" s="2">
        <v>434</v>
      </c>
      <c r="C1996" s="2">
        <v>8</v>
      </c>
      <c r="D1996" s="2">
        <v>1817</v>
      </c>
      <c r="E1996">
        <v>7872</v>
      </c>
      <c r="I1996" s="2">
        <v>27</v>
      </c>
      <c r="J1996" s="2">
        <v>0</v>
      </c>
      <c r="K1996" s="2" t="s">
        <v>884</v>
      </c>
      <c r="L1996" s="43" t="s">
        <v>4418</v>
      </c>
      <c r="P1996" s="41">
        <v>24</v>
      </c>
      <c r="Q1996" s="41">
        <v>8</v>
      </c>
      <c r="R1996" s="41">
        <v>58</v>
      </c>
      <c r="S1996" t="s">
        <v>3321</v>
      </c>
      <c r="AH1996" t="s">
        <v>359</v>
      </c>
    </row>
    <row r="1997" spans="1:34" ht="15.75">
      <c r="A1997" s="29">
        <f t="shared" si="31"/>
        <v>119</v>
      </c>
      <c r="B1997" s="2">
        <v>434</v>
      </c>
      <c r="C1997" s="2">
        <v>8</v>
      </c>
      <c r="D1997" s="2">
        <v>1817</v>
      </c>
      <c r="E1997">
        <v>7873</v>
      </c>
      <c r="H1997" t="s">
        <v>1540</v>
      </c>
      <c r="I1997" s="2">
        <v>119</v>
      </c>
      <c r="J1997" s="2">
        <v>0</v>
      </c>
      <c r="K1997" s="2" t="s">
        <v>884</v>
      </c>
      <c r="L1997" s="43" t="s">
        <v>5704</v>
      </c>
      <c r="P1997" s="41">
        <v>18</v>
      </c>
      <c r="Q1997" s="41">
        <v>12</v>
      </c>
      <c r="R1997" s="41" t="s">
        <v>868</v>
      </c>
      <c r="S1997" t="s">
        <v>1547</v>
      </c>
      <c r="AH1997" t="s">
        <v>359</v>
      </c>
    </row>
    <row r="1998" spans="1:34" ht="15.75">
      <c r="A1998" s="29">
        <f t="shared" si="31"/>
        <v>105990</v>
      </c>
      <c r="B1998" s="2">
        <v>434</v>
      </c>
      <c r="C1998" s="2">
        <v>8</v>
      </c>
      <c r="D1998" s="2">
        <v>1817</v>
      </c>
      <c r="E1998">
        <v>7874</v>
      </c>
      <c r="H1998" t="s">
        <v>1540</v>
      </c>
      <c r="I1998" s="2">
        <v>105990</v>
      </c>
      <c r="J1998" s="2">
        <v>0</v>
      </c>
      <c r="K1998" s="2" t="s">
        <v>884</v>
      </c>
      <c r="L1998" s="43" t="s">
        <v>4419</v>
      </c>
      <c r="M1998" s="41" t="s">
        <v>2976</v>
      </c>
      <c r="O1998" s="41" t="s">
        <v>4420</v>
      </c>
      <c r="P1998" s="41">
        <v>28</v>
      </c>
      <c r="Q1998" s="41">
        <v>8</v>
      </c>
      <c r="R1998" s="41">
        <v>27</v>
      </c>
      <c r="S1998" t="s">
        <v>4421</v>
      </c>
      <c r="T1998" t="s">
        <v>3133</v>
      </c>
      <c r="V1998" t="s">
        <v>3134</v>
      </c>
      <c r="AH1998" t="s">
        <v>359</v>
      </c>
    </row>
    <row r="1999" spans="1:34" ht="15.75">
      <c r="A1999" s="29">
        <f t="shared" si="31"/>
        <v>114</v>
      </c>
      <c r="B1999" s="2">
        <v>434</v>
      </c>
      <c r="C1999" s="2">
        <v>8</v>
      </c>
      <c r="D1999" s="2">
        <v>1817</v>
      </c>
      <c r="E1999">
        <v>7875</v>
      </c>
      <c r="H1999" t="s">
        <v>1540</v>
      </c>
      <c r="I1999" s="2">
        <v>114</v>
      </c>
      <c r="J1999" s="2">
        <v>0</v>
      </c>
      <c r="K1999" s="2" t="s">
        <v>884</v>
      </c>
      <c r="L1999" s="43" t="s">
        <v>4950</v>
      </c>
      <c r="P1999" s="41">
        <v>9</v>
      </c>
      <c r="Q1999" s="41">
        <v>7</v>
      </c>
      <c r="R1999" s="41">
        <v>66</v>
      </c>
      <c r="S1999" t="s">
        <v>3321</v>
      </c>
      <c r="AH1999" t="s">
        <v>359</v>
      </c>
    </row>
    <row r="2000" spans="1:34" ht="15.75">
      <c r="A2000" s="29">
        <f t="shared" si="31"/>
        <v>2714</v>
      </c>
      <c r="B2000" s="2">
        <v>434</v>
      </c>
      <c r="C2000" s="2">
        <v>8</v>
      </c>
      <c r="D2000" s="2">
        <v>1817</v>
      </c>
      <c r="E2000">
        <v>7876</v>
      </c>
      <c r="H2000" t="s">
        <v>1541</v>
      </c>
      <c r="I2000" s="2">
        <v>2714</v>
      </c>
      <c r="J2000" s="2">
        <v>0</v>
      </c>
      <c r="K2000" s="2" t="s">
        <v>884</v>
      </c>
      <c r="L2000" s="43" t="s">
        <v>4950</v>
      </c>
      <c r="P2000" s="41">
        <v>15</v>
      </c>
      <c r="Q2000" s="41">
        <v>9</v>
      </c>
      <c r="R2000" s="41">
        <v>48</v>
      </c>
      <c r="S2000" t="s">
        <v>1547</v>
      </c>
      <c r="AG2000" t="s">
        <v>958</v>
      </c>
      <c r="AH2000" t="s">
        <v>359</v>
      </c>
    </row>
    <row r="2001" spans="1:34" ht="15.75">
      <c r="A2001" s="29">
        <f t="shared" si="31"/>
        <v>25948</v>
      </c>
      <c r="B2001" s="8">
        <v>434</v>
      </c>
      <c r="C2001" s="8">
        <v>8</v>
      </c>
      <c r="D2001" s="8">
        <v>1817</v>
      </c>
      <c r="E2001">
        <v>7877</v>
      </c>
      <c r="F2001" s="9"/>
      <c r="G2001" s="9"/>
      <c r="H2001" s="9" t="s">
        <v>1540</v>
      </c>
      <c r="I2001" s="8">
        <v>25948</v>
      </c>
      <c r="J2001" s="8">
        <v>0</v>
      </c>
      <c r="K2001" s="2" t="s">
        <v>884</v>
      </c>
      <c r="L2001" s="43" t="s">
        <v>4422</v>
      </c>
      <c r="M2001" s="43" t="s">
        <v>4423</v>
      </c>
      <c r="N2001" s="43" t="s">
        <v>1555</v>
      </c>
      <c r="O2001" s="43" t="s">
        <v>4424</v>
      </c>
      <c r="P2001" s="43">
        <v>1</v>
      </c>
      <c r="Q2001" s="43">
        <v>2</v>
      </c>
      <c r="R2001" s="43">
        <v>76</v>
      </c>
      <c r="S2001" s="9" t="s">
        <v>4425</v>
      </c>
      <c r="T2001" t="s">
        <v>4649</v>
      </c>
      <c r="V2001" s="9" t="s">
        <v>4426</v>
      </c>
      <c r="W2001" s="9"/>
      <c r="AH2001" t="s">
        <v>359</v>
      </c>
    </row>
    <row r="2002" spans="1:34" ht="15.75">
      <c r="A2002" s="29">
        <f t="shared" si="31"/>
        <v>90</v>
      </c>
      <c r="B2002" s="2">
        <v>434</v>
      </c>
      <c r="C2002" s="2">
        <v>8</v>
      </c>
      <c r="D2002" s="2">
        <v>1817</v>
      </c>
      <c r="E2002">
        <v>7878</v>
      </c>
      <c r="H2002" t="s">
        <v>1540</v>
      </c>
      <c r="I2002" s="2">
        <v>90</v>
      </c>
      <c r="J2002" s="2">
        <v>0</v>
      </c>
      <c r="K2002" s="2" t="s">
        <v>884</v>
      </c>
      <c r="L2002" s="43" t="s">
        <v>5232</v>
      </c>
      <c r="P2002" s="43">
        <v>10</v>
      </c>
      <c r="Q2002" s="43">
        <v>4</v>
      </c>
      <c r="R2002" s="43">
        <v>19.5</v>
      </c>
      <c r="S2002" s="9" t="s">
        <v>3343</v>
      </c>
      <c r="AH2002" t="s">
        <v>359</v>
      </c>
    </row>
    <row r="2003" spans="1:34" ht="15.75">
      <c r="A2003" s="29">
        <f t="shared" si="31"/>
        <v>7116</v>
      </c>
      <c r="B2003" s="2">
        <v>434</v>
      </c>
      <c r="C2003" s="2">
        <v>8</v>
      </c>
      <c r="D2003" s="2">
        <v>1817</v>
      </c>
      <c r="E2003">
        <v>7879</v>
      </c>
      <c r="H2003" t="s">
        <v>1540</v>
      </c>
      <c r="I2003" s="2">
        <f>1116+6000</f>
        <v>7116</v>
      </c>
      <c r="J2003" s="2">
        <v>0</v>
      </c>
      <c r="K2003" s="2" t="s">
        <v>884</v>
      </c>
      <c r="L2003" s="43" t="s">
        <v>4319</v>
      </c>
      <c r="P2003" s="43">
        <v>30</v>
      </c>
      <c r="Q2003" s="43">
        <v>4</v>
      </c>
      <c r="R2003" s="43">
        <v>66</v>
      </c>
      <c r="S2003" t="s">
        <v>3321</v>
      </c>
      <c r="AH2003" t="s">
        <v>359</v>
      </c>
    </row>
    <row r="2004" spans="1:34" ht="15.75">
      <c r="A2004" s="29">
        <f t="shared" si="31"/>
        <v>2500</v>
      </c>
      <c r="B2004" s="2">
        <v>435</v>
      </c>
      <c r="C2004" s="2">
        <v>8</v>
      </c>
      <c r="D2004" s="2">
        <v>1817</v>
      </c>
      <c r="E2004">
        <v>7898</v>
      </c>
      <c r="H2004" t="s">
        <v>1541</v>
      </c>
      <c r="I2004" s="2">
        <v>2500</v>
      </c>
      <c r="J2004" s="2">
        <v>0</v>
      </c>
      <c r="K2004" s="2" t="s">
        <v>884</v>
      </c>
      <c r="L2004" s="43" t="s">
        <v>1329</v>
      </c>
      <c r="P2004" s="41">
        <v>23</v>
      </c>
      <c r="Q2004" s="41">
        <v>5</v>
      </c>
      <c r="R2004" s="41">
        <v>36</v>
      </c>
      <c r="S2004" t="s">
        <v>3321</v>
      </c>
      <c r="AH2004" t="s">
        <v>359</v>
      </c>
    </row>
    <row r="2005" spans="1:34" ht="15.75">
      <c r="A2005" s="29">
        <f t="shared" si="31"/>
        <v>325</v>
      </c>
      <c r="B2005" s="2">
        <v>435</v>
      </c>
      <c r="C2005" s="2">
        <v>8</v>
      </c>
      <c r="D2005" s="2">
        <v>1817</v>
      </c>
      <c r="E2005">
        <v>7899</v>
      </c>
      <c r="H2005" t="s">
        <v>1541</v>
      </c>
      <c r="I2005" s="2">
        <f>280+45</f>
        <v>325</v>
      </c>
      <c r="J2005" s="2">
        <v>0</v>
      </c>
      <c r="K2005" s="2" t="s">
        <v>884</v>
      </c>
      <c r="L2005" s="43" t="s">
        <v>3641</v>
      </c>
      <c r="P2005" s="41">
        <v>14</v>
      </c>
      <c r="Q2005" s="41">
        <v>9</v>
      </c>
      <c r="R2005" s="41">
        <v>73</v>
      </c>
      <c r="S2005" t="s">
        <v>3343</v>
      </c>
      <c r="AH2005" t="s">
        <v>359</v>
      </c>
    </row>
    <row r="2006" spans="1:34" ht="15.75">
      <c r="A2006" s="29">
        <f t="shared" si="31"/>
        <v>253</v>
      </c>
      <c r="B2006" s="2">
        <v>435</v>
      </c>
      <c r="C2006" s="2">
        <v>8</v>
      </c>
      <c r="D2006" s="2">
        <v>1817</v>
      </c>
      <c r="E2006">
        <v>7900</v>
      </c>
      <c r="H2006" t="s">
        <v>1540</v>
      </c>
      <c r="I2006" s="2">
        <v>253</v>
      </c>
      <c r="J2006" s="2">
        <v>0</v>
      </c>
      <c r="K2006" s="2" t="s">
        <v>884</v>
      </c>
      <c r="L2006" s="43" t="s">
        <v>3641</v>
      </c>
      <c r="P2006" s="41">
        <v>11</v>
      </c>
      <c r="Q2006" s="41">
        <v>10</v>
      </c>
      <c r="R2006" s="41">
        <v>77</v>
      </c>
      <c r="S2006" t="s">
        <v>4325</v>
      </c>
      <c r="AH2006" t="s">
        <v>359</v>
      </c>
    </row>
    <row r="2007" spans="1:34" ht="15.75">
      <c r="A2007" s="29">
        <f t="shared" si="31"/>
        <v>781</v>
      </c>
      <c r="B2007" s="2">
        <v>435</v>
      </c>
      <c r="C2007" s="2">
        <v>8</v>
      </c>
      <c r="D2007" s="2">
        <v>1817</v>
      </c>
      <c r="E2007">
        <v>7901</v>
      </c>
      <c r="H2007" t="s">
        <v>1540</v>
      </c>
      <c r="I2007" s="2">
        <v>781</v>
      </c>
      <c r="J2007" s="2">
        <v>0</v>
      </c>
      <c r="K2007" s="2" t="s">
        <v>884</v>
      </c>
      <c r="L2007" s="43" t="s">
        <v>3358</v>
      </c>
      <c r="P2007" s="41">
        <v>29</v>
      </c>
      <c r="Q2007" s="41">
        <v>7</v>
      </c>
      <c r="R2007" s="41">
        <v>75</v>
      </c>
      <c r="S2007" t="s">
        <v>3343</v>
      </c>
      <c r="AH2007" t="s">
        <v>359</v>
      </c>
    </row>
    <row r="2008" spans="1:34" ht="15.75">
      <c r="A2008" s="29">
        <f t="shared" si="31"/>
        <v>7445</v>
      </c>
      <c r="B2008" s="2">
        <v>435</v>
      </c>
      <c r="C2008" s="2">
        <v>8</v>
      </c>
      <c r="D2008" s="2">
        <v>1817</v>
      </c>
      <c r="E2008">
        <v>7902</v>
      </c>
      <c r="H2008" t="s">
        <v>1540</v>
      </c>
      <c r="I2008" s="2">
        <v>7445</v>
      </c>
      <c r="J2008" s="2">
        <v>0</v>
      </c>
      <c r="K2008" s="2" t="s">
        <v>884</v>
      </c>
      <c r="L2008" s="43" t="s">
        <v>5706</v>
      </c>
      <c r="P2008" s="41">
        <v>19</v>
      </c>
      <c r="Q2008" s="41">
        <v>4</v>
      </c>
      <c r="R2008" s="41">
        <v>58</v>
      </c>
      <c r="S2008" t="s">
        <v>3321</v>
      </c>
      <c r="AH2008" t="s">
        <v>359</v>
      </c>
    </row>
    <row r="2009" spans="1:34" ht="15.75">
      <c r="A2009" s="29">
        <f t="shared" si="31"/>
        <v>465</v>
      </c>
      <c r="B2009" s="2">
        <v>435</v>
      </c>
      <c r="C2009" s="2">
        <v>8</v>
      </c>
      <c r="D2009" s="2">
        <v>1817</v>
      </c>
      <c r="E2009">
        <v>7903</v>
      </c>
      <c r="H2009" t="s">
        <v>1541</v>
      </c>
      <c r="I2009" s="2">
        <v>465</v>
      </c>
      <c r="J2009" s="2">
        <v>0</v>
      </c>
      <c r="K2009" s="2" t="s">
        <v>884</v>
      </c>
      <c r="L2009" s="43" t="s">
        <v>5706</v>
      </c>
      <c r="P2009" s="41">
        <v>27</v>
      </c>
      <c r="Q2009" s="41">
        <v>8</v>
      </c>
      <c r="R2009" s="41">
        <v>77</v>
      </c>
      <c r="S2009" t="s">
        <v>3321</v>
      </c>
      <c r="AH2009" t="s">
        <v>359</v>
      </c>
    </row>
    <row r="2010" spans="1:34" ht="15.75">
      <c r="A2010" s="29">
        <f t="shared" si="31"/>
        <v>320</v>
      </c>
      <c r="B2010" s="2">
        <v>435</v>
      </c>
      <c r="C2010" s="2">
        <v>8</v>
      </c>
      <c r="D2010" s="2">
        <v>1817</v>
      </c>
      <c r="E2010">
        <v>7904</v>
      </c>
      <c r="H2010" t="s">
        <v>1541</v>
      </c>
      <c r="I2010" s="2">
        <v>320</v>
      </c>
      <c r="J2010" s="2">
        <v>0</v>
      </c>
      <c r="K2010" s="2" t="s">
        <v>884</v>
      </c>
      <c r="L2010" s="43" t="s">
        <v>4192</v>
      </c>
      <c r="P2010" s="41">
        <v>9</v>
      </c>
      <c r="Q2010" s="41">
        <v>1</v>
      </c>
      <c r="R2010" s="41">
        <v>52</v>
      </c>
      <c r="S2010" t="s">
        <v>3343</v>
      </c>
      <c r="AH2010" t="s">
        <v>359</v>
      </c>
    </row>
    <row r="2011" spans="1:34" ht="15.75">
      <c r="A2011" s="29">
        <f t="shared" si="31"/>
        <v>830</v>
      </c>
      <c r="B2011" s="2">
        <v>435</v>
      </c>
      <c r="C2011" s="2">
        <v>8</v>
      </c>
      <c r="D2011" s="2">
        <v>1817</v>
      </c>
      <c r="E2011">
        <v>7905</v>
      </c>
      <c r="H2011" t="s">
        <v>1541</v>
      </c>
      <c r="I2011" s="2">
        <v>830</v>
      </c>
      <c r="J2011" s="2">
        <v>0</v>
      </c>
      <c r="K2011" s="2" t="s">
        <v>884</v>
      </c>
      <c r="L2011" s="43" t="s">
        <v>4427</v>
      </c>
      <c r="P2011" s="41">
        <v>20</v>
      </c>
      <c r="Q2011" s="41">
        <v>2</v>
      </c>
      <c r="R2011" s="41" t="s">
        <v>868</v>
      </c>
      <c r="S2011" t="s">
        <v>3321</v>
      </c>
      <c r="AH2011" t="s">
        <v>359</v>
      </c>
    </row>
    <row r="2012" spans="1:34" ht="15.75">
      <c r="A2012" s="29">
        <f t="shared" si="31"/>
        <v>6600</v>
      </c>
      <c r="B2012" s="2">
        <v>435</v>
      </c>
      <c r="C2012" s="2">
        <v>8</v>
      </c>
      <c r="D2012" s="2">
        <v>1817</v>
      </c>
      <c r="E2012">
        <v>7906</v>
      </c>
      <c r="H2012" t="s">
        <v>1540</v>
      </c>
      <c r="I2012" s="2">
        <v>0</v>
      </c>
      <c r="J2012" s="2">
        <v>330</v>
      </c>
      <c r="K2012" s="2" t="s">
        <v>884</v>
      </c>
      <c r="L2012" s="43" t="s">
        <v>5832</v>
      </c>
      <c r="P2012" s="41">
        <v>24</v>
      </c>
      <c r="Q2012" s="41">
        <v>12</v>
      </c>
      <c r="R2012" s="41" t="s">
        <v>868</v>
      </c>
      <c r="S2012" t="s">
        <v>3321</v>
      </c>
      <c r="X2012">
        <v>1</v>
      </c>
      <c r="Y2012" t="s">
        <v>4428</v>
      </c>
      <c r="AH2012" t="s">
        <v>359</v>
      </c>
    </row>
    <row r="2013" spans="1:34" ht="15.75">
      <c r="A2013" s="29">
        <f t="shared" si="31"/>
        <v>12051</v>
      </c>
      <c r="B2013" s="2">
        <v>435</v>
      </c>
      <c r="C2013" s="2">
        <v>8</v>
      </c>
      <c r="D2013" s="2">
        <v>1817</v>
      </c>
      <c r="E2013">
        <v>7907</v>
      </c>
      <c r="H2013" t="s">
        <v>1540</v>
      </c>
      <c r="I2013" s="2">
        <f>9551+200+300</f>
        <v>10051</v>
      </c>
      <c r="J2013" s="2">
        <v>100</v>
      </c>
      <c r="K2013" s="2" t="s">
        <v>884</v>
      </c>
      <c r="L2013" s="43" t="s">
        <v>5832</v>
      </c>
      <c r="P2013" s="41">
        <v>10</v>
      </c>
      <c r="Q2013" s="41">
        <v>9</v>
      </c>
      <c r="R2013" s="41">
        <v>54</v>
      </c>
      <c r="S2013" t="s">
        <v>3321</v>
      </c>
      <c r="X2013">
        <v>1</v>
      </c>
      <c r="Y2013" t="s">
        <v>4429</v>
      </c>
      <c r="AH2013" t="s">
        <v>359</v>
      </c>
    </row>
    <row r="2014" spans="1:34" ht="15.75">
      <c r="A2014" s="29">
        <f t="shared" si="31"/>
        <v>13100</v>
      </c>
      <c r="B2014" s="2">
        <v>435</v>
      </c>
      <c r="C2014" s="2">
        <v>8</v>
      </c>
      <c r="D2014" s="2">
        <v>1817</v>
      </c>
      <c r="E2014">
        <v>7908</v>
      </c>
      <c r="H2014" t="s">
        <v>1541</v>
      </c>
      <c r="I2014" s="2">
        <v>13100</v>
      </c>
      <c r="J2014" s="2">
        <v>0</v>
      </c>
      <c r="K2014" s="2" t="s">
        <v>884</v>
      </c>
      <c r="L2014" s="43" t="s">
        <v>5832</v>
      </c>
      <c r="P2014" s="41">
        <v>13</v>
      </c>
      <c r="Q2014" s="41">
        <v>10</v>
      </c>
      <c r="R2014" s="41">
        <v>46</v>
      </c>
      <c r="S2014" t="s">
        <v>3321</v>
      </c>
      <c r="AH2014" t="s">
        <v>359</v>
      </c>
    </row>
    <row r="2015" spans="1:34" ht="15.75">
      <c r="A2015" s="29">
        <f t="shared" si="31"/>
        <v>1673222</v>
      </c>
      <c r="B2015" s="2">
        <v>435</v>
      </c>
      <c r="C2015" s="2">
        <v>8</v>
      </c>
      <c r="D2015" s="2">
        <v>1817</v>
      </c>
      <c r="E2015">
        <v>7909</v>
      </c>
      <c r="H2015" t="s">
        <v>1540</v>
      </c>
      <c r="I2015" s="2">
        <v>1383442</v>
      </c>
      <c r="J2015" s="2">
        <f>4800+9689</f>
        <v>14489</v>
      </c>
      <c r="K2015" s="2" t="s">
        <v>884</v>
      </c>
      <c r="L2015" s="43" t="s">
        <v>4430</v>
      </c>
      <c r="M2015" s="41" t="s">
        <v>4431</v>
      </c>
      <c r="N2015" s="41" t="s">
        <v>4432</v>
      </c>
      <c r="O2015" s="41" t="s">
        <v>4433</v>
      </c>
      <c r="P2015" s="41">
        <v>27</v>
      </c>
      <c r="Q2015" s="41">
        <v>11</v>
      </c>
      <c r="R2015" s="41">
        <v>60</v>
      </c>
      <c r="S2015" t="s">
        <v>4434</v>
      </c>
      <c r="T2015" t="s">
        <v>4435</v>
      </c>
      <c r="V2015" t="s">
        <v>4436</v>
      </c>
      <c r="X2015">
        <v>1</v>
      </c>
      <c r="Y2015" t="s">
        <v>4437</v>
      </c>
      <c r="AH2015" t="s">
        <v>359</v>
      </c>
    </row>
    <row r="2016" spans="1:34" ht="15.75">
      <c r="A2016" s="29">
        <f t="shared" si="31"/>
        <v>2900</v>
      </c>
      <c r="B2016" s="2">
        <v>435</v>
      </c>
      <c r="C2016" s="2">
        <v>8</v>
      </c>
      <c r="D2016" s="2">
        <v>1817</v>
      </c>
      <c r="E2016">
        <v>7910</v>
      </c>
      <c r="H2016" t="s">
        <v>1540</v>
      </c>
      <c r="I2016" s="2">
        <v>2900</v>
      </c>
      <c r="J2016" s="2">
        <v>0</v>
      </c>
      <c r="K2016" s="2" t="s">
        <v>884</v>
      </c>
      <c r="L2016" s="43" t="s">
        <v>5858</v>
      </c>
      <c r="P2016" s="41">
        <v>14</v>
      </c>
      <c r="Q2016" s="41">
        <v>10</v>
      </c>
      <c r="R2016" s="41">
        <v>18</v>
      </c>
      <c r="S2016" t="s">
        <v>3343</v>
      </c>
      <c r="AH2016" t="s">
        <v>359</v>
      </c>
    </row>
    <row r="2017" spans="1:34" ht="15.75">
      <c r="A2017" s="29">
        <f t="shared" si="31"/>
        <v>666</v>
      </c>
      <c r="B2017" s="2">
        <v>435</v>
      </c>
      <c r="C2017" s="2">
        <v>8</v>
      </c>
      <c r="D2017" s="2">
        <v>1817</v>
      </c>
      <c r="E2017">
        <v>7911</v>
      </c>
      <c r="H2017" t="s">
        <v>1549</v>
      </c>
      <c r="I2017" s="2">
        <v>666</v>
      </c>
      <c r="J2017" s="2">
        <v>0</v>
      </c>
      <c r="K2017" s="2" t="s">
        <v>884</v>
      </c>
      <c r="L2017" s="43" t="s">
        <v>2377</v>
      </c>
      <c r="P2017" s="41">
        <v>28</v>
      </c>
      <c r="Q2017" s="41">
        <v>6</v>
      </c>
      <c r="R2017" s="41">
        <v>77</v>
      </c>
      <c r="S2017" t="s">
        <v>3324</v>
      </c>
      <c r="AH2017" t="s">
        <v>359</v>
      </c>
    </row>
    <row r="2018" spans="1:34" ht="15.75">
      <c r="A2018" s="29">
        <f t="shared" si="31"/>
        <v>113</v>
      </c>
      <c r="B2018" s="2">
        <v>435</v>
      </c>
      <c r="C2018" s="2">
        <v>8</v>
      </c>
      <c r="D2018" s="2">
        <v>1817</v>
      </c>
      <c r="E2018">
        <v>7912</v>
      </c>
      <c r="H2018" t="s">
        <v>1540</v>
      </c>
      <c r="I2018" s="2">
        <v>113</v>
      </c>
      <c r="J2018" s="2">
        <v>0</v>
      </c>
      <c r="K2018" s="2" t="s">
        <v>884</v>
      </c>
      <c r="L2018" s="43" t="s">
        <v>3656</v>
      </c>
      <c r="P2018" s="41">
        <v>2</v>
      </c>
      <c r="Q2018" s="41">
        <v>11</v>
      </c>
      <c r="R2018" s="41">
        <v>59</v>
      </c>
      <c r="S2018" t="s">
        <v>3324</v>
      </c>
      <c r="AH2018" t="s">
        <v>359</v>
      </c>
    </row>
    <row r="2019" spans="1:34" ht="15.75">
      <c r="A2019" s="29">
        <f t="shared" si="31"/>
        <v>115530</v>
      </c>
      <c r="B2019" s="2">
        <v>435</v>
      </c>
      <c r="C2019" s="2">
        <v>8</v>
      </c>
      <c r="D2019" s="2">
        <v>1817</v>
      </c>
      <c r="E2019">
        <v>7913</v>
      </c>
      <c r="H2019" t="s">
        <v>1541</v>
      </c>
      <c r="I2019" s="2">
        <f>18930+600</f>
        <v>19530</v>
      </c>
      <c r="J2019" s="2">
        <v>4800</v>
      </c>
      <c r="K2019" s="2" t="s">
        <v>884</v>
      </c>
      <c r="L2019" s="43" t="s">
        <v>4438</v>
      </c>
      <c r="M2019" s="41" t="s">
        <v>4439</v>
      </c>
      <c r="O2019" s="41" t="s">
        <v>4440</v>
      </c>
      <c r="P2019" s="41">
        <v>5</v>
      </c>
      <c r="Q2019" s="41">
        <v>9</v>
      </c>
      <c r="R2019" s="41">
        <v>45</v>
      </c>
      <c r="S2019" t="s">
        <v>4119</v>
      </c>
      <c r="T2019" t="s">
        <v>3132</v>
      </c>
      <c r="V2019" t="s">
        <v>4120</v>
      </c>
      <c r="X2019">
        <v>1</v>
      </c>
      <c r="Y2019" t="s">
        <v>4121</v>
      </c>
      <c r="AH2019" t="s">
        <v>359</v>
      </c>
    </row>
    <row r="2020" spans="1:34" ht="15.75">
      <c r="A2020" s="29">
        <f t="shared" si="31"/>
        <v>432</v>
      </c>
      <c r="B2020" s="2">
        <v>435</v>
      </c>
      <c r="C2020" s="2">
        <v>8</v>
      </c>
      <c r="D2020" s="2">
        <v>1817</v>
      </c>
      <c r="E2020">
        <v>7914</v>
      </c>
      <c r="H2020" t="s">
        <v>1540</v>
      </c>
      <c r="I2020" s="2">
        <v>432</v>
      </c>
      <c r="J2020" s="2">
        <v>0</v>
      </c>
      <c r="K2020" s="2" t="s">
        <v>884</v>
      </c>
      <c r="L2020" s="43" t="s">
        <v>4122</v>
      </c>
      <c r="P2020" s="41">
        <v>28</v>
      </c>
      <c r="Q2020" s="41">
        <v>11</v>
      </c>
      <c r="R2020" s="41">
        <v>54</v>
      </c>
      <c r="S2020" t="s">
        <v>3343</v>
      </c>
      <c r="AH2020" t="s">
        <v>359</v>
      </c>
    </row>
    <row r="2021" spans="1:34" ht="15.75">
      <c r="A2021" s="29">
        <f t="shared" si="31"/>
        <v>6580</v>
      </c>
      <c r="B2021" s="2">
        <v>435</v>
      </c>
      <c r="C2021" s="2">
        <v>8</v>
      </c>
      <c r="D2021" s="2">
        <v>1817</v>
      </c>
      <c r="E2021">
        <v>7915</v>
      </c>
      <c r="H2021" t="s">
        <v>1541</v>
      </c>
      <c r="I2021" s="2">
        <v>6580</v>
      </c>
      <c r="J2021" s="2">
        <v>0</v>
      </c>
      <c r="K2021" s="2" t="s">
        <v>884</v>
      </c>
      <c r="L2021" s="43" t="s">
        <v>5778</v>
      </c>
      <c r="P2021" s="41">
        <v>21</v>
      </c>
      <c r="Q2021" s="41">
        <v>4</v>
      </c>
      <c r="R2021" s="41">
        <v>26</v>
      </c>
      <c r="S2021" t="s">
        <v>3321</v>
      </c>
      <c r="AH2021" t="s">
        <v>359</v>
      </c>
    </row>
    <row r="2022" spans="1:34" ht="15.75">
      <c r="A2022" s="29">
        <f t="shared" si="31"/>
        <v>1679</v>
      </c>
      <c r="B2022" s="2">
        <v>435</v>
      </c>
      <c r="C2022" s="2">
        <v>8</v>
      </c>
      <c r="D2022" s="2">
        <v>1817</v>
      </c>
      <c r="E2022">
        <v>7916</v>
      </c>
      <c r="H2022" t="s">
        <v>1540</v>
      </c>
      <c r="I2022" s="2">
        <f>179+1500</f>
        <v>1679</v>
      </c>
      <c r="J2022" s="2">
        <v>0</v>
      </c>
      <c r="K2022" s="2" t="s">
        <v>884</v>
      </c>
      <c r="L2022" s="43" t="s">
        <v>5778</v>
      </c>
      <c r="P2022" s="41">
        <v>10</v>
      </c>
      <c r="Q2022" s="41">
        <v>7</v>
      </c>
      <c r="R2022" s="41">
        <v>53</v>
      </c>
      <c r="S2022" t="s">
        <v>3321</v>
      </c>
      <c r="AH2022" t="s">
        <v>359</v>
      </c>
    </row>
    <row r="2023" spans="1:34" ht="15.75">
      <c r="A2023" s="29">
        <f t="shared" si="31"/>
        <v>1668</v>
      </c>
      <c r="B2023" s="2">
        <v>435</v>
      </c>
      <c r="C2023" s="2">
        <v>8</v>
      </c>
      <c r="D2023" s="2">
        <v>1817</v>
      </c>
      <c r="E2023">
        <v>7917</v>
      </c>
      <c r="H2023" t="s">
        <v>1541</v>
      </c>
      <c r="I2023" s="2">
        <v>1668</v>
      </c>
      <c r="J2023" s="2">
        <v>0</v>
      </c>
      <c r="K2023" s="2" t="s">
        <v>884</v>
      </c>
      <c r="L2023" s="43" t="s">
        <v>5778</v>
      </c>
      <c r="P2023" s="41">
        <v>23</v>
      </c>
      <c r="Q2023" s="41">
        <v>4</v>
      </c>
      <c r="R2023" s="41">
        <v>40</v>
      </c>
      <c r="S2023" t="s">
        <v>3321</v>
      </c>
      <c r="AH2023" t="s">
        <v>359</v>
      </c>
    </row>
    <row r="2024" spans="1:34" ht="15.75">
      <c r="A2024" s="29">
        <f t="shared" si="31"/>
        <v>724</v>
      </c>
      <c r="B2024" s="2">
        <v>435</v>
      </c>
      <c r="C2024" s="2">
        <v>8</v>
      </c>
      <c r="D2024" s="2">
        <v>1817</v>
      </c>
      <c r="E2024">
        <v>7918</v>
      </c>
      <c r="H2024" t="s">
        <v>1540</v>
      </c>
      <c r="I2024" s="2">
        <v>724</v>
      </c>
      <c r="J2024" s="2">
        <v>0</v>
      </c>
      <c r="K2024" s="2" t="s">
        <v>884</v>
      </c>
      <c r="L2024" s="43" t="s">
        <v>5778</v>
      </c>
      <c r="P2024" s="41">
        <v>30</v>
      </c>
      <c r="Q2024" s="41">
        <v>7</v>
      </c>
      <c r="R2024" s="41">
        <v>73</v>
      </c>
      <c r="S2024" t="s">
        <v>3343</v>
      </c>
      <c r="AH2024" t="s">
        <v>359</v>
      </c>
    </row>
    <row r="2025" spans="1:34" ht="15.75">
      <c r="A2025" s="29">
        <f t="shared" si="31"/>
        <v>12721</v>
      </c>
      <c r="B2025" s="2">
        <v>435</v>
      </c>
      <c r="C2025" s="2">
        <v>8</v>
      </c>
      <c r="D2025" s="2">
        <v>1817</v>
      </c>
      <c r="E2025">
        <v>7919</v>
      </c>
      <c r="H2025" t="s">
        <v>1541</v>
      </c>
      <c r="I2025" s="2">
        <v>12721</v>
      </c>
      <c r="J2025" s="2">
        <v>0</v>
      </c>
      <c r="K2025" s="2" t="s">
        <v>884</v>
      </c>
      <c r="L2025" s="43" t="s">
        <v>5778</v>
      </c>
      <c r="P2025" s="41">
        <v>30</v>
      </c>
      <c r="Q2025" s="41">
        <v>12</v>
      </c>
      <c r="R2025" s="41">
        <v>76</v>
      </c>
      <c r="S2025" t="s">
        <v>3321</v>
      </c>
      <c r="AH2025" t="s">
        <v>359</v>
      </c>
    </row>
    <row r="2026" spans="1:34" ht="15.75">
      <c r="A2026" s="29">
        <f t="shared" si="31"/>
        <v>1176</v>
      </c>
      <c r="B2026" s="2">
        <v>435</v>
      </c>
      <c r="C2026" s="2">
        <v>8</v>
      </c>
      <c r="D2026" s="2">
        <v>1817</v>
      </c>
      <c r="E2026">
        <v>7920</v>
      </c>
      <c r="H2026" t="s">
        <v>1540</v>
      </c>
      <c r="I2026" s="2">
        <v>1176</v>
      </c>
      <c r="J2026" s="2">
        <v>0</v>
      </c>
      <c r="K2026" s="2" t="s">
        <v>884</v>
      </c>
      <c r="L2026" s="43" t="s">
        <v>5778</v>
      </c>
      <c r="P2026" s="41">
        <v>7</v>
      </c>
      <c r="Q2026" s="41">
        <v>10</v>
      </c>
      <c r="R2026" s="41">
        <v>67</v>
      </c>
      <c r="S2026" t="s">
        <v>3343</v>
      </c>
      <c r="AH2026" t="s">
        <v>359</v>
      </c>
    </row>
    <row r="2027" spans="1:34" ht="15.75">
      <c r="A2027" s="29">
        <f t="shared" si="31"/>
        <v>24</v>
      </c>
      <c r="B2027" s="2">
        <v>436</v>
      </c>
      <c r="C2027" s="2">
        <v>8</v>
      </c>
      <c r="D2027" s="2">
        <v>1817</v>
      </c>
      <c r="E2027">
        <v>7945</v>
      </c>
      <c r="H2027" t="s">
        <v>1541</v>
      </c>
      <c r="I2027" s="2">
        <v>24</v>
      </c>
      <c r="J2027" s="2">
        <v>0</v>
      </c>
      <c r="K2027" s="2" t="s">
        <v>884</v>
      </c>
      <c r="L2027" s="43" t="s">
        <v>5780</v>
      </c>
      <c r="P2027" s="41">
        <v>16</v>
      </c>
      <c r="Q2027" s="41">
        <v>9</v>
      </c>
      <c r="R2027" s="41">
        <v>16</v>
      </c>
      <c r="S2027" t="s">
        <v>3343</v>
      </c>
      <c r="AH2027" t="s">
        <v>359</v>
      </c>
    </row>
    <row r="2028" spans="1:34" ht="15.75">
      <c r="A2028" s="29">
        <f t="shared" si="31"/>
        <v>967</v>
      </c>
      <c r="B2028" s="2">
        <v>436</v>
      </c>
      <c r="C2028" s="2">
        <v>8</v>
      </c>
      <c r="D2028" s="2">
        <v>1817</v>
      </c>
      <c r="E2028">
        <v>7946</v>
      </c>
      <c r="H2028" t="s">
        <v>1540</v>
      </c>
      <c r="I2028" s="2">
        <v>967</v>
      </c>
      <c r="J2028" s="2">
        <v>0</v>
      </c>
      <c r="K2028" s="2" t="s">
        <v>884</v>
      </c>
      <c r="L2028" s="43" t="s">
        <v>5780</v>
      </c>
      <c r="P2028" s="41">
        <v>19</v>
      </c>
      <c r="Q2028" s="41">
        <v>5</v>
      </c>
      <c r="R2028" s="41">
        <v>71</v>
      </c>
      <c r="S2028" t="s">
        <v>3321</v>
      </c>
      <c r="AH2028" t="s">
        <v>359</v>
      </c>
    </row>
    <row r="2029" spans="1:34" ht="15.75">
      <c r="A2029" s="29">
        <f t="shared" si="31"/>
        <v>1150</v>
      </c>
      <c r="B2029" s="2">
        <v>436</v>
      </c>
      <c r="C2029" s="2">
        <v>8</v>
      </c>
      <c r="D2029" s="2">
        <v>1817</v>
      </c>
      <c r="E2029">
        <v>7947</v>
      </c>
      <c r="H2029" t="s">
        <v>1541</v>
      </c>
      <c r="I2029" s="2">
        <v>1150</v>
      </c>
      <c r="J2029" s="2">
        <v>0</v>
      </c>
      <c r="K2029" s="2" t="s">
        <v>884</v>
      </c>
      <c r="L2029" s="43" t="s">
        <v>4123</v>
      </c>
      <c r="P2029" s="41">
        <v>1</v>
      </c>
      <c r="Q2029" s="41">
        <v>3</v>
      </c>
      <c r="R2029" s="41">
        <v>73</v>
      </c>
      <c r="S2029" t="s">
        <v>3329</v>
      </c>
      <c r="AH2029" t="s">
        <v>359</v>
      </c>
    </row>
    <row r="2030" spans="1:34" ht="15.75">
      <c r="A2030" s="29">
        <f t="shared" si="31"/>
        <v>870</v>
      </c>
      <c r="B2030" s="2">
        <v>436</v>
      </c>
      <c r="C2030" s="2">
        <v>8</v>
      </c>
      <c r="D2030" s="2">
        <v>1817</v>
      </c>
      <c r="E2030">
        <v>7948</v>
      </c>
      <c r="H2030" t="s">
        <v>1541</v>
      </c>
      <c r="I2030" s="2">
        <v>870</v>
      </c>
      <c r="J2030" s="2">
        <v>0</v>
      </c>
      <c r="K2030" s="2" t="s">
        <v>884</v>
      </c>
      <c r="L2030" s="43" t="s">
        <v>4123</v>
      </c>
      <c r="P2030" s="41">
        <v>12</v>
      </c>
      <c r="Q2030" s="41">
        <v>6</v>
      </c>
      <c r="R2030" s="41">
        <v>77</v>
      </c>
      <c r="S2030" t="s">
        <v>3329</v>
      </c>
      <c r="AH2030" t="s">
        <v>359</v>
      </c>
    </row>
    <row r="2031" spans="1:34" ht="15.75">
      <c r="A2031" s="29">
        <f t="shared" si="31"/>
        <v>150</v>
      </c>
      <c r="B2031" s="2">
        <v>436</v>
      </c>
      <c r="C2031" s="2">
        <v>8</v>
      </c>
      <c r="D2031" s="2">
        <v>1817</v>
      </c>
      <c r="E2031">
        <v>7949</v>
      </c>
      <c r="H2031" t="s">
        <v>1541</v>
      </c>
      <c r="I2031" s="2">
        <v>150</v>
      </c>
      <c r="J2031" s="2">
        <v>0</v>
      </c>
      <c r="K2031" s="2" t="s">
        <v>884</v>
      </c>
      <c r="L2031" s="43" t="s">
        <v>4123</v>
      </c>
      <c r="P2031" s="41">
        <v>29</v>
      </c>
      <c r="Q2031" s="41">
        <v>7</v>
      </c>
      <c r="R2031" s="41">
        <v>61</v>
      </c>
      <c r="S2031" t="s">
        <v>3329</v>
      </c>
      <c r="AH2031" t="s">
        <v>359</v>
      </c>
    </row>
    <row r="2032" spans="1:34" ht="15.75">
      <c r="A2032" s="29">
        <f t="shared" si="31"/>
        <v>81221</v>
      </c>
      <c r="B2032" s="2">
        <v>436</v>
      </c>
      <c r="C2032" s="2">
        <v>8</v>
      </c>
      <c r="D2032" s="2">
        <v>1817</v>
      </c>
      <c r="E2032">
        <v>7950</v>
      </c>
      <c r="H2032" t="s">
        <v>1540</v>
      </c>
      <c r="I2032" s="2">
        <v>19221</v>
      </c>
      <c r="J2032" s="2">
        <v>3100</v>
      </c>
      <c r="K2032" s="2" t="s">
        <v>884</v>
      </c>
      <c r="L2032" s="43" t="s">
        <v>4124</v>
      </c>
      <c r="M2032" s="41" t="s">
        <v>1550</v>
      </c>
      <c r="N2032" s="41" t="s">
        <v>3130</v>
      </c>
      <c r="O2032" s="41" t="s">
        <v>4125</v>
      </c>
      <c r="P2032" s="41">
        <v>12</v>
      </c>
      <c r="Q2032" s="41">
        <v>9</v>
      </c>
      <c r="R2032" s="41">
        <v>79</v>
      </c>
      <c r="S2032" t="s">
        <v>4126</v>
      </c>
      <c r="T2032" t="s">
        <v>1394</v>
      </c>
      <c r="V2032" t="s">
        <v>4127</v>
      </c>
      <c r="X2032">
        <v>1</v>
      </c>
      <c r="Y2032" t="s">
        <v>4128</v>
      </c>
      <c r="AH2032" t="s">
        <v>359</v>
      </c>
    </row>
    <row r="2033" spans="1:34" ht="15.75">
      <c r="A2033" s="29">
        <f t="shared" si="31"/>
        <v>619</v>
      </c>
      <c r="B2033" s="2">
        <v>436</v>
      </c>
      <c r="C2033" s="2">
        <v>8</v>
      </c>
      <c r="D2033" s="2">
        <v>1817</v>
      </c>
      <c r="E2033">
        <v>7951</v>
      </c>
      <c r="H2033" t="s">
        <v>1540</v>
      </c>
      <c r="I2033" s="2">
        <v>619</v>
      </c>
      <c r="J2033" s="2">
        <v>0</v>
      </c>
      <c r="K2033" s="2" t="s">
        <v>884</v>
      </c>
      <c r="L2033" s="43" t="s">
        <v>4123</v>
      </c>
      <c r="P2033" s="41">
        <v>8</v>
      </c>
      <c r="Q2033" s="41">
        <v>10</v>
      </c>
      <c r="R2033" s="41">
        <v>91</v>
      </c>
      <c r="S2033" t="s">
        <v>3324</v>
      </c>
      <c r="AH2033" t="s">
        <v>359</v>
      </c>
    </row>
    <row r="2034" spans="1:34" ht="15.75">
      <c r="A2034" s="29">
        <f t="shared" si="31"/>
        <v>1983</v>
      </c>
      <c r="B2034" s="2">
        <v>436</v>
      </c>
      <c r="C2034" s="2">
        <v>8</v>
      </c>
      <c r="D2034" s="2">
        <v>1817</v>
      </c>
      <c r="E2034">
        <v>7952</v>
      </c>
      <c r="H2034" t="s">
        <v>850</v>
      </c>
      <c r="I2034" s="2">
        <v>1983</v>
      </c>
      <c r="J2034" s="2">
        <v>0</v>
      </c>
      <c r="K2034" s="2" t="s">
        <v>884</v>
      </c>
      <c r="L2034" s="43" t="s">
        <v>5784</v>
      </c>
      <c r="P2034" s="41">
        <v>16</v>
      </c>
      <c r="Q2034" s="41">
        <v>1</v>
      </c>
      <c r="R2034" s="41">
        <v>81</v>
      </c>
      <c r="S2034" t="s">
        <v>884</v>
      </c>
      <c r="AH2034" t="s">
        <v>359</v>
      </c>
    </row>
    <row r="2035" spans="1:34" ht="15.75">
      <c r="A2035" s="29">
        <f t="shared" si="31"/>
        <v>1429</v>
      </c>
      <c r="B2035" s="2">
        <v>436</v>
      </c>
      <c r="C2035" s="2">
        <v>8</v>
      </c>
      <c r="D2035" s="2">
        <v>1817</v>
      </c>
      <c r="E2035">
        <v>7954</v>
      </c>
      <c r="H2035" t="s">
        <v>1541</v>
      </c>
      <c r="I2035" s="2">
        <v>1429</v>
      </c>
      <c r="J2035" s="2">
        <v>0</v>
      </c>
      <c r="K2035" s="2" t="s">
        <v>884</v>
      </c>
      <c r="L2035" s="43" t="s">
        <v>5786</v>
      </c>
      <c r="P2035" s="41">
        <v>30</v>
      </c>
      <c r="Q2035" s="41">
        <v>5</v>
      </c>
      <c r="R2035" s="41">
        <v>25</v>
      </c>
      <c r="S2035" t="s">
        <v>3321</v>
      </c>
      <c r="AH2035" t="s">
        <v>359</v>
      </c>
    </row>
    <row r="2036" spans="1:34" ht="15.75">
      <c r="A2036" s="29">
        <f t="shared" si="31"/>
        <v>196</v>
      </c>
      <c r="B2036" s="2">
        <v>436</v>
      </c>
      <c r="C2036" s="2">
        <v>8</v>
      </c>
      <c r="D2036" s="2">
        <v>1817</v>
      </c>
      <c r="E2036">
        <v>7955</v>
      </c>
      <c r="H2036" t="s">
        <v>1540</v>
      </c>
      <c r="I2036" s="2">
        <v>196</v>
      </c>
      <c r="J2036" s="2">
        <v>0</v>
      </c>
      <c r="K2036" s="2" t="s">
        <v>884</v>
      </c>
      <c r="L2036" s="43" t="s">
        <v>5787</v>
      </c>
      <c r="P2036" s="41">
        <v>31</v>
      </c>
      <c r="Q2036" s="41">
        <v>12</v>
      </c>
      <c r="R2036" s="41">
        <v>56</v>
      </c>
      <c r="S2036" t="s">
        <v>3321</v>
      </c>
      <c r="AH2036" t="s">
        <v>359</v>
      </c>
    </row>
    <row r="2037" spans="1:34" ht="15.75">
      <c r="A2037" s="29">
        <f t="shared" si="31"/>
        <v>92</v>
      </c>
      <c r="B2037" s="2">
        <v>436</v>
      </c>
      <c r="C2037" s="2">
        <v>8</v>
      </c>
      <c r="D2037" s="2">
        <v>1817</v>
      </c>
      <c r="E2037">
        <v>7958</v>
      </c>
      <c r="H2037" t="s">
        <v>1540</v>
      </c>
      <c r="I2037" s="2">
        <v>92</v>
      </c>
      <c r="J2037" s="2">
        <v>0</v>
      </c>
      <c r="K2037" s="2" t="s">
        <v>884</v>
      </c>
      <c r="L2037" s="43" t="s">
        <v>1332</v>
      </c>
      <c r="P2037" s="41">
        <v>1</v>
      </c>
      <c r="Q2037" s="41">
        <v>2</v>
      </c>
      <c r="R2037" s="41">
        <v>68</v>
      </c>
      <c r="S2037" t="s">
        <v>884</v>
      </c>
      <c r="AH2037" t="s">
        <v>359</v>
      </c>
    </row>
    <row r="2038" spans="1:34" ht="15.75">
      <c r="A2038" s="29">
        <f t="shared" si="31"/>
        <v>23076</v>
      </c>
      <c r="B2038" s="8">
        <v>436</v>
      </c>
      <c r="C2038" s="8">
        <v>8</v>
      </c>
      <c r="D2038" s="8">
        <v>1817</v>
      </c>
      <c r="E2038">
        <v>7959</v>
      </c>
      <c r="F2038" s="9"/>
      <c r="G2038" s="9"/>
      <c r="H2038" s="9" t="s">
        <v>1541</v>
      </c>
      <c r="I2038" s="8">
        <v>1126</v>
      </c>
      <c r="J2038" s="8">
        <v>2195</v>
      </c>
      <c r="K2038" s="2" t="s">
        <v>884</v>
      </c>
      <c r="L2038" s="43" t="s">
        <v>4141</v>
      </c>
      <c r="M2038" s="43" t="s">
        <v>3449</v>
      </c>
      <c r="N2038" s="43" t="s">
        <v>4142</v>
      </c>
      <c r="O2038" s="41" t="s">
        <v>4143</v>
      </c>
      <c r="P2038" s="41">
        <v>23</v>
      </c>
      <c r="Q2038" s="41">
        <v>7</v>
      </c>
      <c r="R2038" s="41">
        <v>77</v>
      </c>
      <c r="S2038" t="s">
        <v>4144</v>
      </c>
      <c r="T2038" t="s">
        <v>4145</v>
      </c>
      <c r="V2038" t="s">
        <v>3131</v>
      </c>
      <c r="X2038">
        <v>0.5</v>
      </c>
      <c r="Y2038" t="s">
        <v>4143</v>
      </c>
      <c r="AH2038" t="s">
        <v>359</v>
      </c>
    </row>
    <row r="2039" spans="1:34" ht="15.75">
      <c r="A2039" s="29">
        <f t="shared" si="31"/>
        <v>434062</v>
      </c>
      <c r="B2039" s="2">
        <v>436</v>
      </c>
      <c r="C2039" s="2">
        <v>8</v>
      </c>
      <c r="D2039" s="2">
        <v>1817</v>
      </c>
      <c r="E2039">
        <v>7960</v>
      </c>
      <c r="H2039" t="s">
        <v>1540</v>
      </c>
      <c r="I2039" s="2">
        <v>55162</v>
      </c>
      <c r="J2039" s="2">
        <f>9479+7983+1333+150</f>
        <v>18945</v>
      </c>
      <c r="K2039" s="2" t="s">
        <v>884</v>
      </c>
      <c r="L2039" s="43" t="s">
        <v>4146</v>
      </c>
      <c r="M2039" s="41" t="s">
        <v>4147</v>
      </c>
      <c r="N2039" s="41" t="s">
        <v>4148</v>
      </c>
      <c r="O2039" s="41" t="s">
        <v>4149</v>
      </c>
      <c r="P2039" s="41">
        <v>20</v>
      </c>
      <c r="Q2039" s="41">
        <v>6</v>
      </c>
      <c r="R2039" s="41" t="s">
        <v>868</v>
      </c>
      <c r="S2039" t="s">
        <v>4150</v>
      </c>
      <c r="T2039" t="s">
        <v>4942</v>
      </c>
      <c r="U2039" t="s">
        <v>4151</v>
      </c>
      <c r="V2039" t="s">
        <v>2368</v>
      </c>
      <c r="X2039">
        <v>1</v>
      </c>
      <c r="Y2039" t="s">
        <v>4152</v>
      </c>
      <c r="AH2039" t="s">
        <v>359</v>
      </c>
    </row>
    <row r="2040" spans="1:34" ht="15.75">
      <c r="A2040" s="29">
        <f t="shared" si="31"/>
        <v>227</v>
      </c>
      <c r="B2040" s="2">
        <v>436</v>
      </c>
      <c r="C2040" s="2">
        <v>8</v>
      </c>
      <c r="D2040" s="2">
        <v>1817</v>
      </c>
      <c r="E2040">
        <v>7961</v>
      </c>
      <c r="H2040" t="s">
        <v>1541</v>
      </c>
      <c r="I2040" s="2">
        <v>227</v>
      </c>
      <c r="J2040" s="2">
        <v>0</v>
      </c>
      <c r="K2040" s="2" t="s">
        <v>884</v>
      </c>
      <c r="L2040" s="43" t="s">
        <v>5787</v>
      </c>
      <c r="P2040" s="41">
        <v>8</v>
      </c>
      <c r="Q2040" s="41">
        <v>3</v>
      </c>
      <c r="R2040" s="41">
        <v>44</v>
      </c>
      <c r="S2040" t="s">
        <v>3321</v>
      </c>
      <c r="AH2040" t="s">
        <v>359</v>
      </c>
    </row>
    <row r="2041" spans="1:34" ht="15.75">
      <c r="A2041" s="29">
        <f t="shared" si="31"/>
        <v>51288</v>
      </c>
      <c r="B2041" s="2">
        <v>436</v>
      </c>
      <c r="C2041" s="2">
        <v>8</v>
      </c>
      <c r="D2041" s="2">
        <v>1817</v>
      </c>
      <c r="E2041">
        <v>7962</v>
      </c>
      <c r="H2041" t="s">
        <v>1541</v>
      </c>
      <c r="I2041" s="2">
        <v>51288</v>
      </c>
      <c r="J2041" s="2">
        <v>0</v>
      </c>
      <c r="K2041" s="2" t="s">
        <v>884</v>
      </c>
      <c r="L2041" s="43" t="s">
        <v>4153</v>
      </c>
      <c r="M2041" s="41" t="s">
        <v>4154</v>
      </c>
      <c r="O2041" s="41" t="s">
        <v>4342</v>
      </c>
      <c r="P2041" s="41">
        <v>7</v>
      </c>
      <c r="Q2041" s="41">
        <v>12</v>
      </c>
      <c r="R2041" s="41">
        <v>55</v>
      </c>
      <c r="S2041" t="s">
        <v>4155</v>
      </c>
      <c r="T2041" t="s">
        <v>3442</v>
      </c>
      <c r="V2041" t="s">
        <v>4156</v>
      </c>
      <c r="AH2041" t="s">
        <v>359</v>
      </c>
    </row>
    <row r="2042" spans="1:34" ht="15.75">
      <c r="A2042" s="29">
        <f t="shared" si="31"/>
        <v>292</v>
      </c>
      <c r="B2042" s="2">
        <v>436</v>
      </c>
      <c r="C2042" s="2">
        <v>8</v>
      </c>
      <c r="D2042" s="2">
        <v>1817</v>
      </c>
      <c r="E2042">
        <v>7963</v>
      </c>
      <c r="H2042" t="s">
        <v>1541</v>
      </c>
      <c r="I2042" s="2">
        <v>292</v>
      </c>
      <c r="J2042" s="2">
        <v>0</v>
      </c>
      <c r="K2042" s="2" t="s">
        <v>884</v>
      </c>
      <c r="L2042" s="43" t="s">
        <v>1336</v>
      </c>
      <c r="P2042" s="41">
        <v>9</v>
      </c>
      <c r="Q2042" s="41">
        <v>6</v>
      </c>
      <c r="R2042" s="41">
        <v>65</v>
      </c>
      <c r="S2042" t="s">
        <v>3343</v>
      </c>
      <c r="AH2042" t="s">
        <v>359</v>
      </c>
    </row>
    <row r="2043" spans="1:34" ht="15.75">
      <c r="A2043" s="29">
        <f t="shared" si="31"/>
        <v>72</v>
      </c>
      <c r="B2043" s="2">
        <v>436</v>
      </c>
      <c r="C2043" s="2">
        <v>8</v>
      </c>
      <c r="D2043" s="2">
        <v>1817</v>
      </c>
      <c r="E2043">
        <v>7964</v>
      </c>
      <c r="H2043" t="s">
        <v>1541</v>
      </c>
      <c r="I2043" s="2">
        <v>72</v>
      </c>
      <c r="J2043" s="2">
        <v>0</v>
      </c>
      <c r="K2043" s="2" t="s">
        <v>884</v>
      </c>
      <c r="L2043" s="43" t="s">
        <v>5708</v>
      </c>
      <c r="P2043" s="41">
        <v>17</v>
      </c>
      <c r="Q2043" s="41">
        <v>11</v>
      </c>
      <c r="R2043" s="41">
        <v>48</v>
      </c>
      <c r="S2043" t="s">
        <v>3321</v>
      </c>
      <c r="AH2043" t="s">
        <v>359</v>
      </c>
    </row>
    <row r="2044" spans="1:34" ht="15.75">
      <c r="A2044" s="29">
        <f t="shared" si="31"/>
        <v>227</v>
      </c>
      <c r="B2044" s="2">
        <v>436</v>
      </c>
      <c r="C2044" s="2">
        <v>8</v>
      </c>
      <c r="D2044" s="2">
        <v>1817</v>
      </c>
      <c r="E2044">
        <v>7965</v>
      </c>
      <c r="H2044" t="s">
        <v>850</v>
      </c>
      <c r="I2044" s="2">
        <v>227</v>
      </c>
      <c r="J2044" s="2">
        <v>0</v>
      </c>
      <c r="K2044" s="2" t="s">
        <v>884</v>
      </c>
      <c r="L2044" s="43" t="s">
        <v>1337</v>
      </c>
      <c r="P2044" s="41">
        <v>25</v>
      </c>
      <c r="Q2044" s="41">
        <v>12</v>
      </c>
      <c r="R2044" s="41">
        <v>37</v>
      </c>
      <c r="S2044" t="s">
        <v>3321</v>
      </c>
      <c r="AH2044" t="s">
        <v>359</v>
      </c>
    </row>
    <row r="2045" spans="1:34" ht="15.75">
      <c r="A2045" s="29">
        <f t="shared" si="31"/>
        <v>60</v>
      </c>
      <c r="B2045" s="2">
        <v>437</v>
      </c>
      <c r="C2045" s="2">
        <v>8</v>
      </c>
      <c r="D2045" s="2">
        <v>1817</v>
      </c>
      <c r="E2045">
        <v>7989</v>
      </c>
      <c r="H2045" t="s">
        <v>1540</v>
      </c>
      <c r="I2045" s="2">
        <v>60</v>
      </c>
      <c r="J2045" s="2">
        <v>0</v>
      </c>
      <c r="K2045" s="2" t="s">
        <v>884</v>
      </c>
      <c r="L2045" s="43" t="s">
        <v>5834</v>
      </c>
      <c r="P2045" s="41">
        <v>13</v>
      </c>
      <c r="Q2045" s="41">
        <v>12</v>
      </c>
      <c r="R2045" s="41">
        <v>63</v>
      </c>
      <c r="S2045" t="s">
        <v>3324</v>
      </c>
      <c r="AH2045" t="s">
        <v>359</v>
      </c>
    </row>
    <row r="2046" spans="1:34" ht="15.75">
      <c r="A2046" s="29">
        <f t="shared" si="31"/>
        <v>309</v>
      </c>
      <c r="B2046" s="2">
        <v>437</v>
      </c>
      <c r="C2046" s="2">
        <v>8</v>
      </c>
      <c r="D2046" s="2">
        <v>1817</v>
      </c>
      <c r="E2046">
        <v>7990</v>
      </c>
      <c r="H2046" t="s">
        <v>1540</v>
      </c>
      <c r="I2046" s="2">
        <v>309</v>
      </c>
      <c r="J2046" s="2">
        <v>0</v>
      </c>
      <c r="K2046" s="2" t="s">
        <v>884</v>
      </c>
      <c r="L2046" s="43" t="s">
        <v>3640</v>
      </c>
      <c r="P2046" s="41">
        <v>3</v>
      </c>
      <c r="Q2046" s="41">
        <v>2</v>
      </c>
      <c r="R2046" s="41">
        <v>72</v>
      </c>
      <c r="S2046" t="s">
        <v>3324</v>
      </c>
      <c r="AH2046" t="s">
        <v>359</v>
      </c>
    </row>
    <row r="2047" spans="1:34" ht="15.75">
      <c r="A2047" s="29">
        <f t="shared" si="31"/>
        <v>7370</v>
      </c>
      <c r="B2047" s="2">
        <v>437</v>
      </c>
      <c r="C2047" s="2">
        <v>8</v>
      </c>
      <c r="D2047" s="2">
        <v>1817</v>
      </c>
      <c r="E2047">
        <v>7991</v>
      </c>
      <c r="H2047" t="s">
        <v>1541</v>
      </c>
      <c r="I2047" s="2">
        <v>370</v>
      </c>
      <c r="J2047" s="2">
        <v>1400</v>
      </c>
      <c r="K2047" s="2" t="s">
        <v>884</v>
      </c>
      <c r="L2047" s="43" t="s">
        <v>1327</v>
      </c>
      <c r="P2047" s="41">
        <v>16</v>
      </c>
      <c r="Q2047" s="41">
        <v>2</v>
      </c>
      <c r="R2047" s="41">
        <v>55</v>
      </c>
      <c r="S2047" t="s">
        <v>3321</v>
      </c>
      <c r="X2047">
        <v>0.25</v>
      </c>
      <c r="Y2047" t="s">
        <v>4164</v>
      </c>
      <c r="AH2047" t="s">
        <v>359</v>
      </c>
    </row>
    <row r="2048" spans="1:34" ht="15.75">
      <c r="A2048" s="29">
        <f t="shared" si="31"/>
        <v>3000</v>
      </c>
      <c r="B2048" s="8">
        <v>437</v>
      </c>
      <c r="C2048" s="8">
        <v>8</v>
      </c>
      <c r="D2048" s="8">
        <v>1817</v>
      </c>
      <c r="E2048">
        <v>7992</v>
      </c>
      <c r="F2048" s="9"/>
      <c r="G2048" s="9"/>
      <c r="H2048" s="9" t="s">
        <v>1541</v>
      </c>
      <c r="I2048" s="8">
        <v>3000</v>
      </c>
      <c r="J2048" s="8">
        <v>0</v>
      </c>
      <c r="K2048" s="8" t="s">
        <v>884</v>
      </c>
      <c r="L2048" s="43" t="s">
        <v>2386</v>
      </c>
      <c r="M2048" s="43"/>
      <c r="N2048" s="43"/>
      <c r="O2048" s="43"/>
      <c r="P2048" s="43">
        <v>11</v>
      </c>
      <c r="Q2048" s="43">
        <v>6</v>
      </c>
      <c r="R2048" s="43">
        <v>18</v>
      </c>
      <c r="S2048" t="s">
        <v>3321</v>
      </c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t="s">
        <v>359</v>
      </c>
    </row>
    <row r="2049" spans="1:34" ht="15.75">
      <c r="A2049" s="29">
        <f t="shared" si="31"/>
        <v>614</v>
      </c>
      <c r="B2049" s="8">
        <v>437</v>
      </c>
      <c r="C2049" s="8">
        <v>8</v>
      </c>
      <c r="D2049" s="8">
        <v>1817</v>
      </c>
      <c r="E2049">
        <v>7993</v>
      </c>
      <c r="F2049" s="9"/>
      <c r="G2049" s="9"/>
      <c r="H2049" s="9" t="s">
        <v>1541</v>
      </c>
      <c r="I2049" s="8">
        <v>614</v>
      </c>
      <c r="J2049" s="8">
        <v>0</v>
      </c>
      <c r="K2049" s="8" t="s">
        <v>884</v>
      </c>
      <c r="L2049" s="43" t="s">
        <v>5713</v>
      </c>
      <c r="M2049" s="43"/>
      <c r="N2049" s="43"/>
      <c r="O2049" s="43"/>
      <c r="P2049" s="43">
        <v>22</v>
      </c>
      <c r="Q2049" s="43">
        <v>10</v>
      </c>
      <c r="R2049" s="43">
        <v>50</v>
      </c>
      <c r="S2049" s="9" t="s">
        <v>4165</v>
      </c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t="s">
        <v>359</v>
      </c>
    </row>
    <row r="2050" spans="1:34" ht="15.75">
      <c r="A2050" s="29">
        <f aca="true" t="shared" si="32" ref="A2050:A2113">I2050+J2050*20*X2050</f>
        <v>2771</v>
      </c>
      <c r="B2050" s="8">
        <v>437</v>
      </c>
      <c r="C2050" s="8">
        <v>8</v>
      </c>
      <c r="D2050" s="8">
        <v>1817</v>
      </c>
      <c r="E2050">
        <v>7994</v>
      </c>
      <c r="F2050" s="9"/>
      <c r="G2050" s="9"/>
      <c r="H2050" s="9" t="s">
        <v>1540</v>
      </c>
      <c r="I2050" s="8">
        <v>2771</v>
      </c>
      <c r="J2050" s="8">
        <v>0</v>
      </c>
      <c r="K2050" s="8" t="s">
        <v>884</v>
      </c>
      <c r="L2050" s="43" t="s">
        <v>5714</v>
      </c>
      <c r="M2050" s="43"/>
      <c r="N2050" s="43"/>
      <c r="O2050" s="43"/>
      <c r="P2050" s="43">
        <v>24</v>
      </c>
      <c r="Q2050" s="43">
        <v>4</v>
      </c>
      <c r="R2050" s="43">
        <v>73</v>
      </c>
      <c r="S2050" t="s">
        <v>3321</v>
      </c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t="s">
        <v>359</v>
      </c>
    </row>
    <row r="2051" spans="1:34" ht="15.75">
      <c r="A2051" s="29">
        <f t="shared" si="32"/>
        <v>300</v>
      </c>
      <c r="B2051" s="2">
        <v>437</v>
      </c>
      <c r="C2051" s="2">
        <v>8</v>
      </c>
      <c r="D2051" s="2">
        <v>1817</v>
      </c>
      <c r="E2051">
        <v>7995</v>
      </c>
      <c r="H2051" t="s">
        <v>1540</v>
      </c>
      <c r="I2051" s="2">
        <v>0</v>
      </c>
      <c r="J2051" s="2">
        <v>15</v>
      </c>
      <c r="K2051" s="2" t="s">
        <v>884</v>
      </c>
      <c r="L2051" s="43" t="s">
        <v>5711</v>
      </c>
      <c r="P2051" s="41">
        <v>3</v>
      </c>
      <c r="Q2051" s="41">
        <v>4</v>
      </c>
      <c r="R2051" s="41" t="s">
        <v>868</v>
      </c>
      <c r="S2051" t="s">
        <v>3321</v>
      </c>
      <c r="X2051">
        <v>1</v>
      </c>
      <c r="Y2051" t="s">
        <v>4166</v>
      </c>
      <c r="AH2051" t="s">
        <v>359</v>
      </c>
    </row>
    <row r="2052" spans="1:34" ht="15.75">
      <c r="A2052" s="29">
        <f t="shared" si="32"/>
        <v>1289</v>
      </c>
      <c r="B2052" s="2">
        <v>437</v>
      </c>
      <c r="C2052" s="2">
        <v>8</v>
      </c>
      <c r="D2052" s="2">
        <v>1817</v>
      </c>
      <c r="E2052">
        <v>7996</v>
      </c>
      <c r="H2052" s="9" t="s">
        <v>850</v>
      </c>
      <c r="I2052" s="2">
        <v>1289</v>
      </c>
      <c r="J2052" s="2">
        <v>0</v>
      </c>
      <c r="K2052" s="2" t="s">
        <v>884</v>
      </c>
      <c r="L2052" s="43" t="s">
        <v>5712</v>
      </c>
      <c r="P2052" s="41">
        <v>3</v>
      </c>
      <c r="Q2052" s="41">
        <v>4</v>
      </c>
      <c r="R2052" s="41">
        <v>59</v>
      </c>
      <c r="S2052" t="s">
        <v>3329</v>
      </c>
      <c r="AH2052" t="s">
        <v>359</v>
      </c>
    </row>
    <row r="2053" spans="1:34" ht="15.75">
      <c r="A2053" s="29">
        <f t="shared" si="32"/>
        <v>405539</v>
      </c>
      <c r="B2053" s="2">
        <v>437</v>
      </c>
      <c r="C2053" s="2">
        <v>8</v>
      </c>
      <c r="D2053" s="2">
        <v>1817</v>
      </c>
      <c r="E2053">
        <v>7997</v>
      </c>
      <c r="H2053" t="s">
        <v>1540</v>
      </c>
      <c r="I2053" s="2">
        <v>91539</v>
      </c>
      <c r="J2053" s="2">
        <v>15700</v>
      </c>
      <c r="K2053" s="2" t="s">
        <v>884</v>
      </c>
      <c r="L2053" s="43" t="s">
        <v>4167</v>
      </c>
      <c r="M2053" s="41" t="s">
        <v>4168</v>
      </c>
      <c r="N2053" s="41" t="s">
        <v>1555</v>
      </c>
      <c r="O2053" s="41" t="s">
        <v>4169</v>
      </c>
      <c r="P2053" s="41">
        <v>5</v>
      </c>
      <c r="Q2053" s="41">
        <v>4</v>
      </c>
      <c r="S2053" t="s">
        <v>4170</v>
      </c>
      <c r="T2053" t="s">
        <v>4171</v>
      </c>
      <c r="V2053" t="s">
        <v>4172</v>
      </c>
      <c r="X2053">
        <v>1</v>
      </c>
      <c r="Y2053" t="s">
        <v>4173</v>
      </c>
      <c r="AH2053" t="s">
        <v>359</v>
      </c>
    </row>
    <row r="2054" spans="1:34" ht="15.75">
      <c r="A2054" s="29">
        <f t="shared" si="32"/>
        <v>19750</v>
      </c>
      <c r="B2054" s="8">
        <v>437</v>
      </c>
      <c r="C2054" s="8">
        <v>8</v>
      </c>
      <c r="D2054" s="8">
        <v>1817</v>
      </c>
      <c r="E2054">
        <v>7998</v>
      </c>
      <c r="F2054" s="9"/>
      <c r="G2054" s="9"/>
      <c r="H2054" s="9" t="s">
        <v>1541</v>
      </c>
      <c r="I2054" s="8">
        <f>1500+18250</f>
        <v>19750</v>
      </c>
      <c r="J2054" s="8">
        <v>0</v>
      </c>
      <c r="K2054" s="2" t="s">
        <v>884</v>
      </c>
      <c r="L2054" s="43" t="s">
        <v>4060</v>
      </c>
      <c r="M2054" s="41" t="s">
        <v>4174</v>
      </c>
      <c r="O2054" s="41" t="s">
        <v>4175</v>
      </c>
      <c r="P2054" s="41">
        <v>4</v>
      </c>
      <c r="Q2054" s="41">
        <v>5</v>
      </c>
      <c r="R2054" s="41">
        <v>40</v>
      </c>
      <c r="S2054" t="s">
        <v>4176</v>
      </c>
      <c r="T2054" t="s">
        <v>4177</v>
      </c>
      <c r="V2054" t="s">
        <v>2720</v>
      </c>
      <c r="AA2054" t="s">
        <v>4178</v>
      </c>
      <c r="AH2054" t="s">
        <v>359</v>
      </c>
    </row>
    <row r="2055" spans="1:34" ht="15.75">
      <c r="A2055" s="29">
        <f t="shared" si="32"/>
        <v>19200</v>
      </c>
      <c r="B2055" s="8">
        <v>437</v>
      </c>
      <c r="C2055" s="8">
        <v>8</v>
      </c>
      <c r="D2055" s="8">
        <v>1817</v>
      </c>
      <c r="E2055">
        <v>7999</v>
      </c>
      <c r="F2055" s="9"/>
      <c r="G2055" s="9"/>
      <c r="H2055" s="9" t="s">
        <v>1540</v>
      </c>
      <c r="I2055" s="8">
        <v>19200</v>
      </c>
      <c r="J2055" s="8">
        <v>0</v>
      </c>
      <c r="K2055" s="2" t="s">
        <v>884</v>
      </c>
      <c r="L2055" s="43" t="s">
        <v>4179</v>
      </c>
      <c r="M2055" s="43" t="s">
        <v>4180</v>
      </c>
      <c r="O2055" s="41" t="s">
        <v>4181</v>
      </c>
      <c r="P2055" s="41">
        <v>1</v>
      </c>
      <c r="Q2055" s="41">
        <v>7</v>
      </c>
      <c r="R2055" s="41">
        <v>63</v>
      </c>
      <c r="S2055" t="s">
        <v>5361</v>
      </c>
      <c r="T2055" t="s">
        <v>5362</v>
      </c>
      <c r="V2055" t="s">
        <v>5363</v>
      </c>
      <c r="AH2055" t="s">
        <v>359</v>
      </c>
    </row>
    <row r="2056" spans="1:34" ht="15.75">
      <c r="A2056" s="29">
        <f t="shared" si="32"/>
        <v>767</v>
      </c>
      <c r="B2056" s="8">
        <v>437</v>
      </c>
      <c r="C2056" s="8">
        <v>8</v>
      </c>
      <c r="D2056" s="8">
        <v>1817</v>
      </c>
      <c r="E2056">
        <v>8000</v>
      </c>
      <c r="F2056" s="9"/>
      <c r="G2056" s="9"/>
      <c r="H2056" s="9" t="s">
        <v>1540</v>
      </c>
      <c r="I2056" s="8">
        <v>767</v>
      </c>
      <c r="J2056" s="8">
        <v>0</v>
      </c>
      <c r="K2056" s="2" t="s">
        <v>884</v>
      </c>
      <c r="L2056" s="43" t="s">
        <v>5714</v>
      </c>
      <c r="P2056" s="41">
        <v>29</v>
      </c>
      <c r="Q2056" s="41">
        <v>11</v>
      </c>
      <c r="R2056" s="41">
        <v>51</v>
      </c>
      <c r="S2056" t="s">
        <v>3321</v>
      </c>
      <c r="AH2056" t="s">
        <v>359</v>
      </c>
    </row>
    <row r="2057" spans="1:34" ht="15.75">
      <c r="A2057" s="29">
        <f t="shared" si="32"/>
        <v>1940</v>
      </c>
      <c r="B2057" s="8">
        <v>437</v>
      </c>
      <c r="C2057" s="8">
        <v>8</v>
      </c>
      <c r="D2057" s="8">
        <v>1817</v>
      </c>
      <c r="E2057">
        <v>8001</v>
      </c>
      <c r="F2057" s="9"/>
      <c r="G2057" s="9"/>
      <c r="H2057" s="9" t="s">
        <v>1540</v>
      </c>
      <c r="I2057" s="8">
        <v>1940</v>
      </c>
      <c r="J2057" s="8">
        <v>0</v>
      </c>
      <c r="K2057" s="2" t="s">
        <v>884</v>
      </c>
      <c r="L2057" s="43" t="s">
        <v>5714</v>
      </c>
      <c r="P2057" s="41">
        <v>30</v>
      </c>
      <c r="Q2057" s="41">
        <v>7</v>
      </c>
      <c r="R2057" s="41">
        <v>60</v>
      </c>
      <c r="S2057" t="s">
        <v>3321</v>
      </c>
      <c r="AH2057" t="s">
        <v>359</v>
      </c>
    </row>
    <row r="2058" spans="1:34" ht="15.75">
      <c r="A2058" s="29">
        <f t="shared" si="32"/>
        <v>24352</v>
      </c>
      <c r="B2058" s="8">
        <v>437</v>
      </c>
      <c r="C2058" s="8">
        <v>8</v>
      </c>
      <c r="D2058" s="8">
        <v>1817</v>
      </c>
      <c r="E2058">
        <v>8002</v>
      </c>
      <c r="F2058" s="9"/>
      <c r="G2058" s="9"/>
      <c r="H2058" s="9" t="s">
        <v>1541</v>
      </c>
      <c r="I2058" s="8">
        <v>24352</v>
      </c>
      <c r="J2058" s="8">
        <v>0</v>
      </c>
      <c r="K2058" s="2" t="s">
        <v>884</v>
      </c>
      <c r="L2058" s="43" t="s">
        <v>5364</v>
      </c>
      <c r="M2058" s="43" t="s">
        <v>4786</v>
      </c>
      <c r="N2058" s="43"/>
      <c r="O2058" s="43" t="s">
        <v>5365</v>
      </c>
      <c r="P2058" s="43">
        <v>13</v>
      </c>
      <c r="Q2058" s="43">
        <v>5</v>
      </c>
      <c r="R2058" s="43">
        <v>82</v>
      </c>
      <c r="S2058" t="s">
        <v>5366</v>
      </c>
      <c r="T2058" t="s">
        <v>5367</v>
      </c>
      <c r="V2058" t="s">
        <v>3249</v>
      </c>
      <c r="AH2058" t="s">
        <v>359</v>
      </c>
    </row>
    <row r="2059" spans="1:34" ht="15.75">
      <c r="A2059" s="29">
        <f t="shared" si="32"/>
        <v>125463</v>
      </c>
      <c r="B2059" s="8">
        <v>437</v>
      </c>
      <c r="C2059" s="8">
        <v>8</v>
      </c>
      <c r="D2059" s="8">
        <v>1817</v>
      </c>
      <c r="E2059">
        <v>8003</v>
      </c>
      <c r="F2059" s="9"/>
      <c r="G2059" s="9"/>
      <c r="H2059" s="9" t="s">
        <v>1540</v>
      </c>
      <c r="I2059" s="8">
        <v>101463</v>
      </c>
      <c r="J2059" s="8">
        <v>1200</v>
      </c>
      <c r="K2059" s="2" t="s">
        <v>884</v>
      </c>
      <c r="L2059" s="43" t="s">
        <v>5368</v>
      </c>
      <c r="M2059" s="41" t="s">
        <v>5369</v>
      </c>
      <c r="N2059" s="41" t="s">
        <v>5370</v>
      </c>
      <c r="O2059" s="41" t="s">
        <v>5371</v>
      </c>
      <c r="P2059" s="41">
        <v>29</v>
      </c>
      <c r="Q2059" s="41">
        <v>11</v>
      </c>
      <c r="R2059" s="41">
        <v>65</v>
      </c>
      <c r="S2059" t="s">
        <v>5372</v>
      </c>
      <c r="T2059" t="s">
        <v>5014</v>
      </c>
      <c r="V2059" t="s">
        <v>3942</v>
      </c>
      <c r="X2059">
        <v>1</v>
      </c>
      <c r="Y2059" t="s">
        <v>5373</v>
      </c>
      <c r="AH2059" t="s">
        <v>359</v>
      </c>
    </row>
    <row r="2060" spans="1:34" ht="15.75">
      <c r="A2060" s="29">
        <f t="shared" si="32"/>
        <v>3456</v>
      </c>
      <c r="B2060" s="8">
        <v>437</v>
      </c>
      <c r="C2060" s="8">
        <v>8</v>
      </c>
      <c r="D2060" s="8">
        <v>1817</v>
      </c>
      <c r="E2060">
        <v>8004</v>
      </c>
      <c r="F2060" s="9"/>
      <c r="G2060" s="9"/>
      <c r="H2060" s="9" t="s">
        <v>1541</v>
      </c>
      <c r="I2060" s="8">
        <v>3456</v>
      </c>
      <c r="J2060" s="8">
        <v>0</v>
      </c>
      <c r="K2060" s="2" t="s">
        <v>884</v>
      </c>
      <c r="L2060" s="43" t="s">
        <v>5374</v>
      </c>
      <c r="P2060" s="41">
        <v>1</v>
      </c>
      <c r="Q2060" s="41">
        <v>3</v>
      </c>
      <c r="R2060" s="41">
        <v>77</v>
      </c>
      <c r="S2060" t="s">
        <v>3329</v>
      </c>
      <c r="AH2060" t="s">
        <v>359</v>
      </c>
    </row>
    <row r="2061" spans="1:34" ht="15.75">
      <c r="A2061" s="29">
        <f t="shared" si="32"/>
        <v>77845</v>
      </c>
      <c r="B2061" s="8">
        <v>437</v>
      </c>
      <c r="C2061" s="8">
        <v>8</v>
      </c>
      <c r="D2061" s="8">
        <v>1817</v>
      </c>
      <c r="E2061">
        <v>8005</v>
      </c>
      <c r="F2061" s="9"/>
      <c r="G2061" s="9"/>
      <c r="H2061" s="9" t="s">
        <v>1540</v>
      </c>
      <c r="I2061" s="8">
        <v>77845</v>
      </c>
      <c r="J2061" s="8">
        <v>0</v>
      </c>
      <c r="K2061" s="2" t="s">
        <v>884</v>
      </c>
      <c r="L2061" s="43" t="s">
        <v>5375</v>
      </c>
      <c r="M2061" s="41" t="s">
        <v>5376</v>
      </c>
      <c r="N2061" s="41" t="s">
        <v>5377</v>
      </c>
      <c r="O2061" s="41" t="s">
        <v>5378</v>
      </c>
      <c r="P2061" s="41">
        <v>6</v>
      </c>
      <c r="Q2061" s="41">
        <v>4</v>
      </c>
      <c r="R2061" s="41">
        <v>69</v>
      </c>
      <c r="S2061" t="s">
        <v>5379</v>
      </c>
      <c r="T2061" t="s">
        <v>4929</v>
      </c>
      <c r="V2061" t="s">
        <v>5380</v>
      </c>
      <c r="AH2061" t="s">
        <v>359</v>
      </c>
    </row>
    <row r="2062" spans="1:34" ht="15.75">
      <c r="A2062" s="29">
        <f t="shared" si="32"/>
        <v>30</v>
      </c>
      <c r="B2062" s="8">
        <v>437</v>
      </c>
      <c r="C2062" s="8">
        <v>8</v>
      </c>
      <c r="D2062" s="8">
        <v>1817</v>
      </c>
      <c r="E2062">
        <v>8006</v>
      </c>
      <c r="F2062" s="9"/>
      <c r="G2062" s="9"/>
      <c r="H2062" s="9" t="s">
        <v>1540</v>
      </c>
      <c r="I2062" s="8">
        <v>30</v>
      </c>
      <c r="J2062" s="8">
        <v>0</v>
      </c>
      <c r="K2062" s="2" t="s">
        <v>884</v>
      </c>
      <c r="L2062" s="43" t="s">
        <v>2387</v>
      </c>
      <c r="P2062" s="41">
        <v>7</v>
      </c>
      <c r="Q2062" s="41">
        <v>10</v>
      </c>
      <c r="R2062" s="41">
        <v>55</v>
      </c>
      <c r="S2062" t="s">
        <v>3321</v>
      </c>
      <c r="AH2062" t="s">
        <v>359</v>
      </c>
    </row>
    <row r="2063" spans="1:34" ht="15.75">
      <c r="A2063" s="29">
        <f t="shared" si="32"/>
        <v>899</v>
      </c>
      <c r="B2063" s="8">
        <v>437</v>
      </c>
      <c r="C2063" s="8">
        <v>8</v>
      </c>
      <c r="D2063" s="8">
        <v>1817</v>
      </c>
      <c r="E2063">
        <v>8007</v>
      </c>
      <c r="F2063" s="9"/>
      <c r="G2063" s="9"/>
      <c r="H2063" s="9" t="s">
        <v>1541</v>
      </c>
      <c r="I2063" s="8">
        <v>899</v>
      </c>
      <c r="J2063" s="8">
        <v>0</v>
      </c>
      <c r="K2063" s="2" t="s">
        <v>884</v>
      </c>
      <c r="L2063" s="43" t="s">
        <v>2387</v>
      </c>
      <c r="P2063" s="41">
        <v>25</v>
      </c>
      <c r="Q2063" s="41">
        <v>4</v>
      </c>
      <c r="R2063" s="41">
        <v>80</v>
      </c>
      <c r="S2063" t="s">
        <v>3329</v>
      </c>
      <c r="AH2063" t="s">
        <v>359</v>
      </c>
    </row>
    <row r="2064" spans="1:34" ht="15.75">
      <c r="A2064" s="29">
        <f t="shared" si="32"/>
        <v>2370</v>
      </c>
      <c r="B2064" s="22">
        <v>437</v>
      </c>
      <c r="C2064" s="22">
        <v>8</v>
      </c>
      <c r="D2064" s="22">
        <v>1817</v>
      </c>
      <c r="E2064">
        <v>8009</v>
      </c>
      <c r="F2064" s="16"/>
      <c r="G2064" s="16"/>
      <c r="H2064" s="16" t="s">
        <v>1540</v>
      </c>
      <c r="I2064" s="22">
        <v>2370</v>
      </c>
      <c r="J2064" s="22">
        <v>0</v>
      </c>
      <c r="K2064" s="22" t="s">
        <v>884</v>
      </c>
      <c r="M2064" s="45"/>
      <c r="N2064" s="45"/>
      <c r="O2064" s="45"/>
      <c r="P2064" s="45"/>
      <c r="Q2064" s="45"/>
      <c r="R2064" s="45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6"/>
      <c r="AG2064" s="16"/>
      <c r="AH2064" t="s">
        <v>359</v>
      </c>
    </row>
    <row r="2065" spans="1:34" ht="15.75">
      <c r="A2065" s="29">
        <f t="shared" si="32"/>
        <v>79</v>
      </c>
      <c r="B2065" s="22">
        <v>437</v>
      </c>
      <c r="C2065" s="22">
        <v>8</v>
      </c>
      <c r="D2065" s="22">
        <v>1817</v>
      </c>
      <c r="E2065">
        <v>8010</v>
      </c>
      <c r="F2065" s="16"/>
      <c r="G2065" s="16"/>
      <c r="H2065" s="16" t="s">
        <v>1540</v>
      </c>
      <c r="I2065" s="22">
        <v>79</v>
      </c>
      <c r="J2065" s="22">
        <v>0</v>
      </c>
      <c r="K2065" s="22" t="s">
        <v>884</v>
      </c>
      <c r="M2065" s="45"/>
      <c r="N2065" s="45"/>
      <c r="O2065" s="45"/>
      <c r="P2065" s="45"/>
      <c r="Q2065" s="45"/>
      <c r="R2065" s="45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6"/>
      <c r="AG2065" s="16"/>
      <c r="AH2065" t="s">
        <v>359</v>
      </c>
    </row>
    <row r="2066" spans="1:34" ht="15.75">
      <c r="A2066" s="29">
        <f t="shared" si="32"/>
        <v>18000</v>
      </c>
      <c r="B2066" s="8">
        <v>437</v>
      </c>
      <c r="C2066" s="8">
        <v>8</v>
      </c>
      <c r="D2066" s="8">
        <v>1817</v>
      </c>
      <c r="E2066">
        <v>8011</v>
      </c>
      <c r="F2066" s="9"/>
      <c r="G2066" s="9"/>
      <c r="H2066" s="9" t="s">
        <v>1541</v>
      </c>
      <c r="I2066" s="8">
        <v>0</v>
      </c>
      <c r="J2066" s="8">
        <v>900</v>
      </c>
      <c r="K2066" s="2" t="s">
        <v>884</v>
      </c>
      <c r="L2066" s="43" t="s">
        <v>5836</v>
      </c>
      <c r="M2066" s="41" t="s">
        <v>5386</v>
      </c>
      <c r="N2066" s="41" t="s">
        <v>1555</v>
      </c>
      <c r="O2066" s="41" t="s">
        <v>5387</v>
      </c>
      <c r="P2066" s="41">
        <v>5</v>
      </c>
      <c r="Q2066" s="41">
        <v>12</v>
      </c>
      <c r="S2066" t="s">
        <v>5388</v>
      </c>
      <c r="T2066" t="s">
        <v>5389</v>
      </c>
      <c r="U2066" t="s">
        <v>5387</v>
      </c>
      <c r="V2066" t="s">
        <v>4654</v>
      </c>
      <c r="X2066">
        <v>1</v>
      </c>
      <c r="Y2066" t="s">
        <v>5390</v>
      </c>
      <c r="AH2066" t="s">
        <v>359</v>
      </c>
    </row>
    <row r="2067" spans="1:34" ht="15.75">
      <c r="A2067" s="29">
        <f t="shared" si="32"/>
        <v>14790</v>
      </c>
      <c r="B2067" s="2">
        <v>438</v>
      </c>
      <c r="C2067" s="2">
        <v>8</v>
      </c>
      <c r="D2067" s="2">
        <v>1817</v>
      </c>
      <c r="E2067">
        <v>8039</v>
      </c>
      <c r="H2067" t="s">
        <v>1540</v>
      </c>
      <c r="I2067" s="2">
        <v>430</v>
      </c>
      <c r="J2067" s="2">
        <v>718</v>
      </c>
      <c r="K2067" s="2" t="s">
        <v>884</v>
      </c>
      <c r="L2067" s="43" t="s">
        <v>5716</v>
      </c>
      <c r="P2067" s="41">
        <v>2</v>
      </c>
      <c r="Q2067" s="41">
        <v>4</v>
      </c>
      <c r="R2067" s="41">
        <v>21</v>
      </c>
      <c r="S2067" t="s">
        <v>3343</v>
      </c>
      <c r="X2067">
        <v>1</v>
      </c>
      <c r="Y2067" t="s">
        <v>5391</v>
      </c>
      <c r="AH2067" t="s">
        <v>359</v>
      </c>
    </row>
    <row r="2068" spans="1:34" ht="15.75">
      <c r="A2068" s="29">
        <f t="shared" si="32"/>
        <v>84000</v>
      </c>
      <c r="B2068" s="2">
        <v>438</v>
      </c>
      <c r="C2068" s="2">
        <v>8</v>
      </c>
      <c r="D2068" s="2">
        <v>1817</v>
      </c>
      <c r="E2068">
        <v>8040</v>
      </c>
      <c r="H2068" t="s">
        <v>1541</v>
      </c>
      <c r="I2068" s="2">
        <v>0</v>
      </c>
      <c r="J2068" s="2">
        <v>4200</v>
      </c>
      <c r="K2068" s="2" t="s">
        <v>884</v>
      </c>
      <c r="L2068" s="43" t="s">
        <v>5392</v>
      </c>
      <c r="M2068" s="41" t="s">
        <v>2976</v>
      </c>
      <c r="N2068" s="41" t="s">
        <v>5393</v>
      </c>
      <c r="O2068" s="41" t="s">
        <v>5393</v>
      </c>
      <c r="P2068" s="41">
        <v>27</v>
      </c>
      <c r="Q2068" s="41">
        <v>1</v>
      </c>
      <c r="R2068" s="41" t="s">
        <v>1547</v>
      </c>
      <c r="S2068" t="s">
        <v>5394</v>
      </c>
      <c r="T2068" t="s">
        <v>5395</v>
      </c>
      <c r="V2068" t="s">
        <v>5396</v>
      </c>
      <c r="X2068">
        <v>1</v>
      </c>
      <c r="Y2068" t="s">
        <v>5397</v>
      </c>
      <c r="AH2068" t="s">
        <v>359</v>
      </c>
    </row>
    <row r="2069" spans="1:34" ht="15.75">
      <c r="A2069" s="29">
        <f t="shared" si="32"/>
        <v>5782</v>
      </c>
      <c r="B2069" s="2">
        <v>438</v>
      </c>
      <c r="C2069" s="2">
        <v>8</v>
      </c>
      <c r="D2069" s="2">
        <v>1817</v>
      </c>
      <c r="E2069">
        <v>8041</v>
      </c>
      <c r="H2069" t="s">
        <v>1540</v>
      </c>
      <c r="I2069" s="2">
        <f>5182+600</f>
        <v>5782</v>
      </c>
      <c r="J2069" s="2">
        <v>0</v>
      </c>
      <c r="K2069" s="2" t="s">
        <v>884</v>
      </c>
      <c r="L2069" s="43" t="s">
        <v>2396</v>
      </c>
      <c r="P2069" s="41">
        <v>17</v>
      </c>
      <c r="Q2069" s="41">
        <v>11</v>
      </c>
      <c r="R2069" s="41">
        <v>70</v>
      </c>
      <c r="S2069" t="s">
        <v>3324</v>
      </c>
      <c r="AH2069" t="s">
        <v>359</v>
      </c>
    </row>
    <row r="2070" spans="1:34" ht="15.75">
      <c r="A2070" s="29">
        <f t="shared" si="32"/>
        <v>559</v>
      </c>
      <c r="B2070" s="2">
        <v>438</v>
      </c>
      <c r="C2070" s="2">
        <v>8</v>
      </c>
      <c r="D2070" s="2">
        <v>1817</v>
      </c>
      <c r="E2070">
        <v>8042</v>
      </c>
      <c r="H2070" t="s">
        <v>1540</v>
      </c>
      <c r="I2070" s="2">
        <v>559</v>
      </c>
      <c r="J2070" s="2">
        <v>0</v>
      </c>
      <c r="K2070" s="2" t="s">
        <v>884</v>
      </c>
      <c r="L2070" s="43" t="s">
        <v>2396</v>
      </c>
      <c r="P2070" s="41">
        <v>14</v>
      </c>
      <c r="Q2070" s="41">
        <v>8</v>
      </c>
      <c r="R2070" s="41">
        <v>36</v>
      </c>
      <c r="S2070" t="s">
        <v>3321</v>
      </c>
      <c r="AH2070" t="s">
        <v>359</v>
      </c>
    </row>
    <row r="2071" spans="1:34" ht="15.75">
      <c r="A2071" s="29">
        <f t="shared" si="32"/>
        <v>726</v>
      </c>
      <c r="B2071" s="2">
        <v>438</v>
      </c>
      <c r="C2071" s="2">
        <v>8</v>
      </c>
      <c r="D2071" s="2">
        <v>1817</v>
      </c>
      <c r="E2071">
        <v>8043</v>
      </c>
      <c r="H2071" t="s">
        <v>1541</v>
      </c>
      <c r="I2071" s="2">
        <v>726</v>
      </c>
      <c r="J2071" s="2">
        <v>0</v>
      </c>
      <c r="K2071" s="2" t="s">
        <v>884</v>
      </c>
      <c r="L2071" s="43" t="s">
        <v>961</v>
      </c>
      <c r="P2071" s="41">
        <v>29</v>
      </c>
      <c r="Q2071" s="41">
        <v>11</v>
      </c>
      <c r="R2071" s="41">
        <v>37</v>
      </c>
      <c r="S2071" t="s">
        <v>3324</v>
      </c>
      <c r="AH2071" t="s">
        <v>359</v>
      </c>
    </row>
    <row r="2072" spans="1:34" ht="15.75">
      <c r="A2072" s="29">
        <f t="shared" si="32"/>
        <v>876</v>
      </c>
      <c r="B2072" s="2">
        <v>438</v>
      </c>
      <c r="C2072" s="2">
        <v>8</v>
      </c>
      <c r="D2072" s="2">
        <v>1817</v>
      </c>
      <c r="E2072">
        <v>8044</v>
      </c>
      <c r="H2072" t="s">
        <v>1540</v>
      </c>
      <c r="I2072" s="2">
        <v>876</v>
      </c>
      <c r="J2072" s="2">
        <v>0</v>
      </c>
      <c r="K2072" s="2" t="s">
        <v>884</v>
      </c>
      <c r="L2072" s="43" t="s">
        <v>963</v>
      </c>
      <c r="P2072" s="41">
        <v>22</v>
      </c>
      <c r="Q2072" s="41">
        <v>1</v>
      </c>
      <c r="R2072" s="41">
        <v>34</v>
      </c>
      <c r="S2072" t="s">
        <v>3321</v>
      </c>
      <c r="AH2072" t="s">
        <v>359</v>
      </c>
    </row>
    <row r="2073" spans="1:34" ht="15.75">
      <c r="A2073" s="29">
        <f t="shared" si="32"/>
        <v>14691</v>
      </c>
      <c r="B2073" s="2">
        <v>438</v>
      </c>
      <c r="C2073" s="2">
        <v>8</v>
      </c>
      <c r="D2073" s="2">
        <v>1817</v>
      </c>
      <c r="E2073">
        <v>8045</v>
      </c>
      <c r="H2073" t="s">
        <v>1541</v>
      </c>
      <c r="I2073" s="2">
        <v>14691</v>
      </c>
      <c r="J2073" s="2">
        <v>0</v>
      </c>
      <c r="K2073" s="2" t="s">
        <v>884</v>
      </c>
      <c r="L2073" s="43" t="s">
        <v>965</v>
      </c>
      <c r="P2073" s="41">
        <v>1</v>
      </c>
      <c r="Q2073" s="41">
        <v>8</v>
      </c>
      <c r="R2073" s="41" t="s">
        <v>868</v>
      </c>
      <c r="S2073" t="s">
        <v>3321</v>
      </c>
      <c r="AH2073" t="s">
        <v>359</v>
      </c>
    </row>
    <row r="2074" spans="1:34" ht="15.75">
      <c r="A2074" s="29">
        <f t="shared" si="32"/>
        <v>12590</v>
      </c>
      <c r="B2074" s="2">
        <v>438</v>
      </c>
      <c r="C2074" s="2">
        <v>8</v>
      </c>
      <c r="D2074" s="2">
        <v>1817</v>
      </c>
      <c r="E2074">
        <v>8046</v>
      </c>
      <c r="H2074" t="s">
        <v>1540</v>
      </c>
      <c r="I2074" s="2">
        <f>6490+6100</f>
        <v>12590</v>
      </c>
      <c r="J2074" s="2">
        <v>0</v>
      </c>
      <c r="K2074" s="2" t="s">
        <v>884</v>
      </c>
      <c r="L2074" s="43" t="s">
        <v>5718</v>
      </c>
      <c r="P2074" s="41">
        <v>18</v>
      </c>
      <c r="Q2074" s="41">
        <v>12</v>
      </c>
      <c r="R2074" s="41">
        <v>58</v>
      </c>
      <c r="S2074" t="s">
        <v>3321</v>
      </c>
      <c r="AH2074" t="s">
        <v>359</v>
      </c>
    </row>
    <row r="2075" spans="1:34" ht="15.75">
      <c r="A2075" s="29">
        <f t="shared" si="32"/>
        <v>512</v>
      </c>
      <c r="B2075" s="2">
        <v>438</v>
      </c>
      <c r="C2075" s="2">
        <v>8</v>
      </c>
      <c r="D2075" s="2">
        <v>1817</v>
      </c>
      <c r="E2075">
        <v>8047</v>
      </c>
      <c r="H2075" t="s">
        <v>1540</v>
      </c>
      <c r="I2075" s="2">
        <v>512</v>
      </c>
      <c r="J2075" s="2">
        <v>0</v>
      </c>
      <c r="K2075" s="2" t="s">
        <v>884</v>
      </c>
      <c r="L2075" s="43" t="s">
        <v>968</v>
      </c>
      <c r="P2075" s="41">
        <v>10</v>
      </c>
      <c r="Q2075" s="41">
        <v>1</v>
      </c>
      <c r="R2075" s="41">
        <v>61</v>
      </c>
      <c r="S2075" t="s">
        <v>3324</v>
      </c>
      <c r="AH2075" t="s">
        <v>359</v>
      </c>
    </row>
    <row r="2076" spans="1:34" ht="15.75">
      <c r="A2076" s="29">
        <f t="shared" si="32"/>
        <v>4535</v>
      </c>
      <c r="B2076" s="2">
        <v>438</v>
      </c>
      <c r="C2076" s="2">
        <v>8</v>
      </c>
      <c r="D2076" s="2">
        <v>1817</v>
      </c>
      <c r="E2076">
        <v>8048</v>
      </c>
      <c r="H2076" t="s">
        <v>1541</v>
      </c>
      <c r="I2076" s="2">
        <v>4535</v>
      </c>
      <c r="J2076" s="2">
        <v>0</v>
      </c>
      <c r="K2076" s="2" t="s">
        <v>884</v>
      </c>
      <c r="L2076" s="43" t="s">
        <v>968</v>
      </c>
      <c r="P2076" s="41">
        <v>22</v>
      </c>
      <c r="Q2076" s="41">
        <v>4</v>
      </c>
      <c r="R2076" s="41">
        <v>66</v>
      </c>
      <c r="S2076" t="s">
        <v>3329</v>
      </c>
      <c r="AH2076" t="s">
        <v>359</v>
      </c>
    </row>
    <row r="2077" spans="1:34" ht="15.75">
      <c r="A2077" s="29">
        <f t="shared" si="32"/>
        <v>85</v>
      </c>
      <c r="B2077" s="2">
        <v>438</v>
      </c>
      <c r="C2077" s="2">
        <v>8</v>
      </c>
      <c r="D2077" s="2">
        <v>1817</v>
      </c>
      <c r="E2077">
        <v>8049</v>
      </c>
      <c r="H2077" t="s">
        <v>1541</v>
      </c>
      <c r="I2077" s="2">
        <v>85</v>
      </c>
      <c r="J2077" s="2">
        <v>0</v>
      </c>
      <c r="K2077" s="2" t="s">
        <v>884</v>
      </c>
      <c r="L2077" s="43" t="s">
        <v>970</v>
      </c>
      <c r="P2077" s="41">
        <v>17</v>
      </c>
      <c r="Q2077" s="41">
        <v>3</v>
      </c>
      <c r="R2077" s="41">
        <v>86</v>
      </c>
      <c r="S2077" t="s">
        <v>3329</v>
      </c>
      <c r="AH2077" t="s">
        <v>359</v>
      </c>
    </row>
    <row r="2078" spans="1:34" ht="15.75">
      <c r="A2078" s="29">
        <f t="shared" si="32"/>
        <v>608</v>
      </c>
      <c r="B2078" s="2">
        <v>438</v>
      </c>
      <c r="C2078" s="2">
        <v>8</v>
      </c>
      <c r="D2078" s="2">
        <v>1817</v>
      </c>
      <c r="E2078">
        <v>8050</v>
      </c>
      <c r="H2078" t="s">
        <v>1540</v>
      </c>
      <c r="I2078" s="2">
        <v>608</v>
      </c>
      <c r="J2078" s="2">
        <v>0</v>
      </c>
      <c r="K2078" s="2" t="s">
        <v>884</v>
      </c>
      <c r="L2078" s="43" t="s">
        <v>970</v>
      </c>
      <c r="P2078" s="41">
        <v>13</v>
      </c>
      <c r="Q2078" s="41">
        <v>11</v>
      </c>
      <c r="R2078" s="41">
        <v>6</v>
      </c>
      <c r="S2078" t="s">
        <v>3343</v>
      </c>
      <c r="AH2078" t="s">
        <v>359</v>
      </c>
    </row>
    <row r="2079" spans="1:34" ht="15.75">
      <c r="A2079" s="29">
        <f t="shared" si="32"/>
        <v>62500</v>
      </c>
      <c r="B2079" s="2">
        <v>438</v>
      </c>
      <c r="C2079" s="2">
        <v>8</v>
      </c>
      <c r="D2079" s="2">
        <v>1817</v>
      </c>
      <c r="E2079">
        <v>8051</v>
      </c>
      <c r="H2079" t="s">
        <v>1540</v>
      </c>
      <c r="I2079" s="2">
        <v>0</v>
      </c>
      <c r="J2079" s="2">
        <v>5000</v>
      </c>
      <c r="K2079" s="2" t="s">
        <v>884</v>
      </c>
      <c r="L2079" s="43" t="s">
        <v>5398</v>
      </c>
      <c r="M2079" s="41" t="s">
        <v>5399</v>
      </c>
      <c r="N2079" s="41" t="s">
        <v>5400</v>
      </c>
      <c r="O2079" s="41" t="s">
        <v>5401</v>
      </c>
      <c r="P2079" s="41">
        <v>13</v>
      </c>
      <c r="Q2079" s="41">
        <v>2</v>
      </c>
      <c r="R2079" s="41" t="s">
        <v>868</v>
      </c>
      <c r="S2079" t="s">
        <v>5402</v>
      </c>
      <c r="T2079" t="s">
        <v>5403</v>
      </c>
      <c r="U2079" t="s">
        <v>4090</v>
      </c>
      <c r="V2079" t="s">
        <v>4985</v>
      </c>
      <c r="X2079">
        <f>5/8</f>
        <v>0.625</v>
      </c>
      <c r="Y2079" t="s">
        <v>5404</v>
      </c>
      <c r="AH2079" t="s">
        <v>359</v>
      </c>
    </row>
    <row r="2080" spans="1:34" ht="15.75">
      <c r="A2080" s="29">
        <f t="shared" si="32"/>
        <v>24900</v>
      </c>
      <c r="B2080" s="2">
        <v>439</v>
      </c>
      <c r="C2080" s="2">
        <v>8</v>
      </c>
      <c r="D2080" s="2">
        <v>1817</v>
      </c>
      <c r="E2080">
        <v>8069</v>
      </c>
      <c r="H2080" t="s">
        <v>1540</v>
      </c>
      <c r="I2080" s="2">
        <v>24900</v>
      </c>
      <c r="J2080" s="2">
        <v>0</v>
      </c>
      <c r="K2080" s="2" t="s">
        <v>864</v>
      </c>
      <c r="L2080" s="43" t="s">
        <v>5405</v>
      </c>
      <c r="M2080" s="41" t="s">
        <v>5406</v>
      </c>
      <c r="N2080" s="41" t="s">
        <v>5407</v>
      </c>
      <c r="O2080" s="41" t="s">
        <v>5408</v>
      </c>
      <c r="P2080" s="41">
        <v>14</v>
      </c>
      <c r="Q2080" s="41">
        <v>2</v>
      </c>
      <c r="R2080" s="41">
        <v>70</v>
      </c>
      <c r="S2080" t="s">
        <v>3343</v>
      </c>
      <c r="T2080" t="s">
        <v>3448</v>
      </c>
      <c r="V2080" t="s">
        <v>5143</v>
      </c>
      <c r="AH2080" t="s">
        <v>359</v>
      </c>
    </row>
    <row r="2081" spans="1:34" ht="15.75">
      <c r="A2081" s="29">
        <f t="shared" si="32"/>
        <v>801</v>
      </c>
      <c r="B2081" s="2">
        <v>439</v>
      </c>
      <c r="C2081" s="2">
        <v>8</v>
      </c>
      <c r="D2081" s="2">
        <v>1817</v>
      </c>
      <c r="E2081">
        <v>8070</v>
      </c>
      <c r="H2081" t="s">
        <v>1540</v>
      </c>
      <c r="I2081" s="2">
        <v>801</v>
      </c>
      <c r="J2081" s="2">
        <v>0</v>
      </c>
      <c r="K2081" s="2" t="s">
        <v>864</v>
      </c>
      <c r="L2081" s="43" t="s">
        <v>5719</v>
      </c>
      <c r="P2081" s="41">
        <v>3</v>
      </c>
      <c r="Q2081" s="41">
        <v>1</v>
      </c>
      <c r="R2081" s="41">
        <v>75</v>
      </c>
      <c r="S2081" t="s">
        <v>3343</v>
      </c>
      <c r="AH2081" t="s">
        <v>359</v>
      </c>
    </row>
    <row r="2082" spans="1:34" ht="15.75">
      <c r="A2082" s="29">
        <f t="shared" si="32"/>
        <v>42444</v>
      </c>
      <c r="B2082" s="2">
        <v>439</v>
      </c>
      <c r="C2082" s="2">
        <v>8</v>
      </c>
      <c r="D2082" s="2">
        <v>1817</v>
      </c>
      <c r="E2082">
        <v>8071</v>
      </c>
      <c r="H2082" t="s">
        <v>1541</v>
      </c>
      <c r="I2082" s="2">
        <v>42444</v>
      </c>
      <c r="J2082" s="2">
        <v>0</v>
      </c>
      <c r="K2082" s="2" t="s">
        <v>864</v>
      </c>
      <c r="L2082" s="43" t="s">
        <v>4442</v>
      </c>
      <c r="M2082" s="41" t="s">
        <v>3449</v>
      </c>
      <c r="O2082" s="41" t="s">
        <v>4443</v>
      </c>
      <c r="P2082" s="41">
        <v>9</v>
      </c>
      <c r="Q2082" s="41">
        <v>3</v>
      </c>
      <c r="R2082" s="41">
        <v>73</v>
      </c>
      <c r="S2082" t="s">
        <v>4444</v>
      </c>
      <c r="T2082" t="s">
        <v>4445</v>
      </c>
      <c r="V2082" t="s">
        <v>3450</v>
      </c>
      <c r="AH2082" t="s">
        <v>359</v>
      </c>
    </row>
    <row r="2083" spans="1:34" ht="15.75">
      <c r="A2083" s="29">
        <f t="shared" si="32"/>
        <v>25849</v>
      </c>
      <c r="B2083" s="2">
        <v>439</v>
      </c>
      <c r="C2083" s="2">
        <v>8</v>
      </c>
      <c r="D2083" s="2">
        <v>1817</v>
      </c>
      <c r="E2083">
        <v>8072</v>
      </c>
      <c r="H2083" t="s">
        <v>1540</v>
      </c>
      <c r="I2083" s="2">
        <v>25849</v>
      </c>
      <c r="J2083" s="2">
        <v>0</v>
      </c>
      <c r="K2083" s="2" t="s">
        <v>864</v>
      </c>
      <c r="L2083" s="43" t="s">
        <v>4446</v>
      </c>
      <c r="M2083" s="41" t="s">
        <v>1620</v>
      </c>
      <c r="N2083" s="41" t="s">
        <v>4447</v>
      </c>
      <c r="O2083" s="41" t="s">
        <v>4448</v>
      </c>
      <c r="P2083" s="41">
        <v>16</v>
      </c>
      <c r="Q2083" s="41">
        <v>8</v>
      </c>
      <c r="R2083" s="41">
        <v>72</v>
      </c>
      <c r="S2083" t="s">
        <v>4449</v>
      </c>
      <c r="T2083" t="s">
        <v>3440</v>
      </c>
      <c r="V2083" t="s">
        <v>4450</v>
      </c>
      <c r="AH2083" t="s">
        <v>359</v>
      </c>
    </row>
    <row r="2084" spans="1:34" ht="15.75">
      <c r="A2084" s="29">
        <f t="shared" si="32"/>
        <v>48000</v>
      </c>
      <c r="B2084" s="2">
        <v>439</v>
      </c>
      <c r="C2084" s="2">
        <v>8</v>
      </c>
      <c r="D2084" s="2">
        <v>1817</v>
      </c>
      <c r="E2084">
        <v>8073</v>
      </c>
      <c r="H2084" t="s">
        <v>1541</v>
      </c>
      <c r="I2084" s="2">
        <v>0</v>
      </c>
      <c r="J2084" s="2">
        <v>2400</v>
      </c>
      <c r="K2084" s="2" t="s">
        <v>864</v>
      </c>
      <c r="L2084" s="43" t="s">
        <v>4451</v>
      </c>
      <c r="M2084" s="41" t="s">
        <v>3441</v>
      </c>
      <c r="O2084" s="41" t="s">
        <v>4452</v>
      </c>
      <c r="P2084" s="41">
        <v>7</v>
      </c>
      <c r="Q2084" s="41">
        <v>7</v>
      </c>
      <c r="R2084" s="41" t="s">
        <v>868</v>
      </c>
      <c r="S2084" t="s">
        <v>4453</v>
      </c>
      <c r="T2084" t="s">
        <v>3442</v>
      </c>
      <c r="U2084" t="s">
        <v>4454</v>
      </c>
      <c r="V2084" t="s">
        <v>792</v>
      </c>
      <c r="X2084">
        <v>1</v>
      </c>
      <c r="Y2084" t="s">
        <v>4455</v>
      </c>
      <c r="AH2084" t="s">
        <v>359</v>
      </c>
    </row>
    <row r="2085" spans="1:34" ht="15.75">
      <c r="A2085" s="29">
        <f t="shared" si="32"/>
        <v>7743</v>
      </c>
      <c r="B2085" s="2">
        <v>439</v>
      </c>
      <c r="C2085" s="2">
        <v>8</v>
      </c>
      <c r="D2085" s="2">
        <v>1817</v>
      </c>
      <c r="E2085">
        <v>8074</v>
      </c>
      <c r="H2085" t="s">
        <v>1540</v>
      </c>
      <c r="I2085" s="2">
        <v>7743</v>
      </c>
      <c r="J2085" s="2">
        <v>0</v>
      </c>
      <c r="K2085" s="2" t="s">
        <v>864</v>
      </c>
      <c r="L2085" s="43" t="s">
        <v>5233</v>
      </c>
      <c r="P2085" s="41">
        <v>29</v>
      </c>
      <c r="Q2085" s="41">
        <v>11</v>
      </c>
      <c r="R2085" s="41">
        <v>34</v>
      </c>
      <c r="S2085" t="s">
        <v>3321</v>
      </c>
      <c r="AH2085" t="s">
        <v>359</v>
      </c>
    </row>
    <row r="2086" spans="1:34" ht="15.75">
      <c r="A2086" s="29">
        <f t="shared" si="32"/>
        <v>33658</v>
      </c>
      <c r="B2086" s="2">
        <v>439</v>
      </c>
      <c r="C2086" s="2">
        <v>8</v>
      </c>
      <c r="D2086" s="2">
        <v>1817</v>
      </c>
      <c r="E2086">
        <v>8075</v>
      </c>
      <c r="H2086" t="s">
        <v>1540</v>
      </c>
      <c r="I2086" s="2">
        <v>3658</v>
      </c>
      <c r="J2086" s="2">
        <v>1500</v>
      </c>
      <c r="K2086" s="2" t="s">
        <v>864</v>
      </c>
      <c r="L2086" s="43" t="s">
        <v>5405</v>
      </c>
      <c r="M2086" s="41" t="s">
        <v>3451</v>
      </c>
      <c r="N2086" s="41" t="s">
        <v>1555</v>
      </c>
      <c r="O2086" s="41" t="s">
        <v>4456</v>
      </c>
      <c r="P2086" s="41">
        <v>25</v>
      </c>
      <c r="Q2086" s="41">
        <v>2</v>
      </c>
      <c r="R2086" s="41">
        <v>77</v>
      </c>
      <c r="S2086" t="s">
        <v>4457</v>
      </c>
      <c r="T2086" t="s">
        <v>4942</v>
      </c>
      <c r="V2086" t="s">
        <v>4999</v>
      </c>
      <c r="X2086">
        <v>1</v>
      </c>
      <c r="Y2086" t="s">
        <v>4456</v>
      </c>
      <c r="AH2086" t="s">
        <v>359</v>
      </c>
    </row>
    <row r="2087" spans="1:34" ht="15.75">
      <c r="A2087" s="29">
        <f t="shared" si="32"/>
        <v>20646</v>
      </c>
      <c r="B2087" s="8">
        <v>439</v>
      </c>
      <c r="C2087" s="8">
        <v>8</v>
      </c>
      <c r="D2087" s="8">
        <v>1817</v>
      </c>
      <c r="E2087">
        <v>8076</v>
      </c>
      <c r="F2087" s="9"/>
      <c r="G2087" s="9"/>
      <c r="H2087" s="9" t="s">
        <v>1540</v>
      </c>
      <c r="I2087" s="8">
        <v>646</v>
      </c>
      <c r="J2087" s="8">
        <v>1000</v>
      </c>
      <c r="K2087" s="2" t="s">
        <v>864</v>
      </c>
      <c r="L2087" s="43" t="s">
        <v>714</v>
      </c>
      <c r="M2087" s="41" t="s">
        <v>4458</v>
      </c>
      <c r="N2087" s="41" t="s">
        <v>4459</v>
      </c>
      <c r="O2087" s="41" t="s">
        <v>4460</v>
      </c>
      <c r="P2087" s="41">
        <v>24</v>
      </c>
      <c r="Q2087" s="41">
        <v>4</v>
      </c>
      <c r="R2087" s="41">
        <v>65</v>
      </c>
      <c r="S2087" s="11" t="s">
        <v>4461</v>
      </c>
      <c r="T2087" s="11" t="s">
        <v>4462</v>
      </c>
      <c r="V2087" s="11" t="s">
        <v>4162</v>
      </c>
      <c r="W2087" s="11"/>
      <c r="X2087">
        <v>1</v>
      </c>
      <c r="Y2087" t="s">
        <v>4463</v>
      </c>
      <c r="AH2087" t="s">
        <v>359</v>
      </c>
    </row>
    <row r="2088" spans="1:34" ht="15.75">
      <c r="A2088" s="29">
        <f t="shared" si="32"/>
        <v>13748</v>
      </c>
      <c r="B2088" s="2">
        <v>439</v>
      </c>
      <c r="C2088" s="2">
        <v>8</v>
      </c>
      <c r="D2088" s="2">
        <v>1817</v>
      </c>
      <c r="E2088">
        <v>8077</v>
      </c>
      <c r="H2088" t="s">
        <v>1540</v>
      </c>
      <c r="I2088" s="2">
        <v>13748</v>
      </c>
      <c r="J2088" s="2">
        <v>0</v>
      </c>
      <c r="K2088" s="2" t="s">
        <v>864</v>
      </c>
      <c r="L2088" s="43" t="s">
        <v>5720</v>
      </c>
      <c r="P2088" s="41">
        <v>9</v>
      </c>
      <c r="Q2088" s="41">
        <v>5</v>
      </c>
      <c r="R2088" s="41">
        <v>75</v>
      </c>
      <c r="S2088" t="s">
        <v>3343</v>
      </c>
      <c r="AH2088" t="s">
        <v>359</v>
      </c>
    </row>
    <row r="2089" spans="1:34" ht="15.75">
      <c r="A2089" s="29">
        <f t="shared" si="32"/>
        <v>3597</v>
      </c>
      <c r="B2089" s="2">
        <v>439</v>
      </c>
      <c r="C2089" s="2">
        <v>8</v>
      </c>
      <c r="D2089" s="2">
        <v>1817</v>
      </c>
      <c r="E2089">
        <v>8078</v>
      </c>
      <c r="H2089" t="s">
        <v>1541</v>
      </c>
      <c r="I2089" s="2">
        <v>3597</v>
      </c>
      <c r="J2089" s="2">
        <v>0</v>
      </c>
      <c r="K2089" s="2" t="s">
        <v>864</v>
      </c>
      <c r="L2089" s="43" t="s">
        <v>4464</v>
      </c>
      <c r="P2089" s="41">
        <v>19</v>
      </c>
      <c r="Q2089" s="41">
        <v>2</v>
      </c>
      <c r="R2089" s="41">
        <v>31</v>
      </c>
      <c r="S2089" t="s">
        <v>3321</v>
      </c>
      <c r="AH2089" t="s">
        <v>359</v>
      </c>
    </row>
    <row r="2090" spans="1:34" ht="15.75">
      <c r="A2090" s="29">
        <f t="shared" si="32"/>
        <v>13685</v>
      </c>
      <c r="B2090" s="2">
        <v>439</v>
      </c>
      <c r="C2090" s="2">
        <v>8</v>
      </c>
      <c r="D2090" s="2">
        <v>1817</v>
      </c>
      <c r="E2090">
        <v>8080</v>
      </c>
      <c r="H2090" t="s">
        <v>1540</v>
      </c>
      <c r="I2090" s="2">
        <f>6086+7599</f>
        <v>13685</v>
      </c>
      <c r="J2090" s="2">
        <v>0</v>
      </c>
      <c r="K2090" s="2" t="s">
        <v>864</v>
      </c>
      <c r="L2090" s="43" t="s">
        <v>1793</v>
      </c>
      <c r="P2090" s="41">
        <v>1</v>
      </c>
      <c r="Q2090" s="41">
        <v>7</v>
      </c>
      <c r="R2090" s="41">
        <v>74</v>
      </c>
      <c r="S2090" t="s">
        <v>3343</v>
      </c>
      <c r="AH2090" t="s">
        <v>359</v>
      </c>
    </row>
    <row r="2091" spans="1:34" ht="15.75">
      <c r="A2091" s="29">
        <f t="shared" si="32"/>
        <v>157445</v>
      </c>
      <c r="B2091" s="2">
        <v>439</v>
      </c>
      <c r="C2091" s="2">
        <v>8</v>
      </c>
      <c r="D2091" s="2">
        <v>1817</v>
      </c>
      <c r="E2091">
        <v>8081</v>
      </c>
      <c r="H2091" t="s">
        <v>1541</v>
      </c>
      <c r="I2091" s="2">
        <v>157445</v>
      </c>
      <c r="J2091" s="2">
        <v>0</v>
      </c>
      <c r="K2091" s="2" t="s">
        <v>864</v>
      </c>
      <c r="L2091" s="43" t="s">
        <v>2972</v>
      </c>
      <c r="M2091" s="41" t="s">
        <v>4471</v>
      </c>
      <c r="O2091" s="41" t="s">
        <v>4472</v>
      </c>
      <c r="P2091" s="41">
        <v>7</v>
      </c>
      <c r="Q2091" s="41">
        <v>5</v>
      </c>
      <c r="R2091" s="41">
        <v>53</v>
      </c>
      <c r="S2091" t="s">
        <v>4473</v>
      </c>
      <c r="T2091" t="s">
        <v>4474</v>
      </c>
      <c r="V2091" t="s">
        <v>2973</v>
      </c>
      <c r="AA2091" t="s">
        <v>4475</v>
      </c>
      <c r="AH2091" t="s">
        <v>359</v>
      </c>
    </row>
    <row r="2092" spans="1:34" ht="15.75">
      <c r="A2092" s="29">
        <f t="shared" si="32"/>
        <v>12022</v>
      </c>
      <c r="B2092" s="2">
        <v>439</v>
      </c>
      <c r="C2092" s="2">
        <v>8</v>
      </c>
      <c r="D2092" s="2">
        <v>1817</v>
      </c>
      <c r="E2092">
        <v>8082</v>
      </c>
      <c r="H2092" t="s">
        <v>1540</v>
      </c>
      <c r="I2092" s="2">
        <f>4022+8000</f>
        <v>12022</v>
      </c>
      <c r="J2092" s="2">
        <v>0</v>
      </c>
      <c r="K2092" s="2" t="s">
        <v>864</v>
      </c>
      <c r="L2092" s="43" t="s">
        <v>1396</v>
      </c>
      <c r="P2092" s="41">
        <v>25</v>
      </c>
      <c r="Q2092" s="41">
        <v>7</v>
      </c>
      <c r="R2092" s="41">
        <v>65</v>
      </c>
      <c r="S2092" t="s">
        <v>3321</v>
      </c>
      <c r="AH2092" t="s">
        <v>359</v>
      </c>
    </row>
    <row r="2093" spans="1:34" ht="15.75">
      <c r="A2093" s="29">
        <f t="shared" si="32"/>
        <v>15312</v>
      </c>
      <c r="B2093" s="2">
        <v>439</v>
      </c>
      <c r="C2093" s="2">
        <v>8</v>
      </c>
      <c r="D2093" s="2">
        <v>1817</v>
      </c>
      <c r="E2093">
        <v>8083</v>
      </c>
      <c r="H2093" t="s">
        <v>850</v>
      </c>
      <c r="I2093">
        <f>1287+14025</f>
        <v>15312</v>
      </c>
      <c r="J2093" s="2">
        <v>0</v>
      </c>
      <c r="K2093" s="2" t="s">
        <v>864</v>
      </c>
      <c r="L2093" s="43" t="s">
        <v>5234</v>
      </c>
      <c r="P2093" s="41">
        <v>6</v>
      </c>
      <c r="Q2093" s="41">
        <v>8</v>
      </c>
      <c r="R2093" s="41">
        <v>81</v>
      </c>
      <c r="S2093" t="s">
        <v>3321</v>
      </c>
      <c r="AH2093" t="s">
        <v>359</v>
      </c>
    </row>
    <row r="2094" spans="1:34" ht="15.75">
      <c r="A2094" s="29">
        <f t="shared" si="32"/>
        <v>48</v>
      </c>
      <c r="B2094" s="2">
        <v>439</v>
      </c>
      <c r="C2094" s="2">
        <v>8</v>
      </c>
      <c r="D2094" s="2">
        <v>1817</v>
      </c>
      <c r="E2094">
        <v>8084</v>
      </c>
      <c r="H2094" t="s">
        <v>1540</v>
      </c>
      <c r="I2094" s="2">
        <v>48</v>
      </c>
      <c r="J2094" s="2">
        <v>0</v>
      </c>
      <c r="K2094" s="2" t="s">
        <v>864</v>
      </c>
      <c r="L2094" s="43" t="s">
        <v>1396</v>
      </c>
      <c r="P2094" s="41">
        <v>19</v>
      </c>
      <c r="Q2094" s="41">
        <v>11</v>
      </c>
      <c r="R2094" s="41">
        <v>73</v>
      </c>
      <c r="S2094" t="s">
        <v>3321</v>
      </c>
      <c r="AH2094" t="s">
        <v>359</v>
      </c>
    </row>
    <row r="2095" spans="1:34" ht="15.75">
      <c r="A2095" s="29">
        <f t="shared" si="32"/>
        <v>393</v>
      </c>
      <c r="B2095" s="2">
        <v>439</v>
      </c>
      <c r="C2095" s="2">
        <v>8</v>
      </c>
      <c r="D2095" s="2">
        <v>1817</v>
      </c>
      <c r="E2095">
        <v>8085</v>
      </c>
      <c r="H2095" t="s">
        <v>1541</v>
      </c>
      <c r="I2095" s="2">
        <v>393</v>
      </c>
      <c r="J2095" s="2">
        <v>0</v>
      </c>
      <c r="K2095" s="2" t="s">
        <v>864</v>
      </c>
      <c r="L2095" s="43" t="s">
        <v>5721</v>
      </c>
      <c r="P2095" s="41">
        <v>20</v>
      </c>
      <c r="Q2095" s="41">
        <v>5</v>
      </c>
      <c r="R2095" s="41">
        <v>55</v>
      </c>
      <c r="S2095" t="s">
        <v>3329</v>
      </c>
      <c r="AH2095" t="s">
        <v>359</v>
      </c>
    </row>
    <row r="2096" spans="1:34" ht="15.75">
      <c r="A2096" s="29">
        <f t="shared" si="32"/>
        <v>67</v>
      </c>
      <c r="B2096" s="2">
        <v>439</v>
      </c>
      <c r="C2096" s="2">
        <v>8</v>
      </c>
      <c r="D2096" s="2">
        <v>1817</v>
      </c>
      <c r="E2096">
        <v>8086</v>
      </c>
      <c r="H2096" t="s">
        <v>1541</v>
      </c>
      <c r="I2096" s="2">
        <v>67</v>
      </c>
      <c r="J2096" s="2">
        <v>0</v>
      </c>
      <c r="K2096" s="2" t="s">
        <v>864</v>
      </c>
      <c r="L2096" s="43" t="s">
        <v>3659</v>
      </c>
      <c r="P2096" s="41">
        <v>13</v>
      </c>
      <c r="Q2096" s="41">
        <v>2</v>
      </c>
      <c r="R2096" s="41">
        <v>51</v>
      </c>
      <c r="S2096" t="s">
        <v>3321</v>
      </c>
      <c r="AH2096" t="s">
        <v>359</v>
      </c>
    </row>
    <row r="2097" spans="1:34" ht="15.75">
      <c r="A2097" s="29">
        <f t="shared" si="32"/>
        <v>180476</v>
      </c>
      <c r="B2097" s="2">
        <v>439</v>
      </c>
      <c r="C2097" s="2">
        <v>8</v>
      </c>
      <c r="D2097" s="2">
        <v>1817</v>
      </c>
      <c r="E2097">
        <v>8087</v>
      </c>
      <c r="H2097" t="s">
        <v>1540</v>
      </c>
      <c r="I2097" s="2">
        <v>180476</v>
      </c>
      <c r="J2097" s="2">
        <v>0</v>
      </c>
      <c r="K2097" s="2" t="s">
        <v>864</v>
      </c>
      <c r="L2097" s="43" t="s">
        <v>4476</v>
      </c>
      <c r="M2097" s="41" t="s">
        <v>4477</v>
      </c>
      <c r="N2097" s="41" t="s">
        <v>4478</v>
      </c>
      <c r="O2097" s="41" t="s">
        <v>4479</v>
      </c>
      <c r="P2097" s="41">
        <v>1</v>
      </c>
      <c r="Q2097" s="41">
        <v>11</v>
      </c>
      <c r="R2097" s="41">
        <v>88</v>
      </c>
      <c r="S2097" t="s">
        <v>3343</v>
      </c>
      <c r="T2097" t="s">
        <v>4480</v>
      </c>
      <c r="V2097" t="s">
        <v>3446</v>
      </c>
      <c r="AH2097" t="s">
        <v>359</v>
      </c>
    </row>
    <row r="2098" spans="1:34" ht="15.75">
      <c r="A2098" s="29">
        <f t="shared" si="32"/>
        <v>1498</v>
      </c>
      <c r="B2098" s="2">
        <v>439</v>
      </c>
      <c r="C2098" s="2">
        <v>8</v>
      </c>
      <c r="D2098" s="2">
        <v>1817</v>
      </c>
      <c r="E2098">
        <v>8088</v>
      </c>
      <c r="H2098" t="s">
        <v>1541</v>
      </c>
      <c r="I2098" s="2">
        <v>1498</v>
      </c>
      <c r="J2098" s="2">
        <v>0</v>
      </c>
      <c r="K2098" s="2" t="s">
        <v>864</v>
      </c>
      <c r="L2098" s="43" t="s">
        <v>3678</v>
      </c>
      <c r="P2098" s="41">
        <v>12</v>
      </c>
      <c r="Q2098" s="41">
        <v>5</v>
      </c>
      <c r="R2098" s="41">
        <v>39</v>
      </c>
      <c r="S2098" t="s">
        <v>3343</v>
      </c>
      <c r="AH2098" t="s">
        <v>359</v>
      </c>
    </row>
    <row r="2099" spans="1:34" ht="15.75">
      <c r="A2099" s="29">
        <f t="shared" si="32"/>
        <v>71031</v>
      </c>
      <c r="B2099" s="2">
        <v>439</v>
      </c>
      <c r="C2099" s="2">
        <v>8</v>
      </c>
      <c r="D2099" s="2">
        <v>1817</v>
      </c>
      <c r="E2099">
        <v>8089</v>
      </c>
      <c r="H2099" t="s">
        <v>1540</v>
      </c>
      <c r="I2099" s="2">
        <f>6731+64300</f>
        <v>71031</v>
      </c>
      <c r="J2099" s="2">
        <v>0</v>
      </c>
      <c r="K2099" s="2" t="s">
        <v>864</v>
      </c>
      <c r="L2099" s="43" t="s">
        <v>4481</v>
      </c>
      <c r="M2099" s="41" t="s">
        <v>4482</v>
      </c>
      <c r="N2099" s="41" t="s">
        <v>2681</v>
      </c>
      <c r="O2099" s="41" t="s">
        <v>4483</v>
      </c>
      <c r="P2099" s="41">
        <v>16</v>
      </c>
      <c r="Q2099" s="41">
        <v>12</v>
      </c>
      <c r="R2099" s="41">
        <v>42</v>
      </c>
      <c r="S2099" t="s">
        <v>3343</v>
      </c>
      <c r="T2099" t="s">
        <v>4484</v>
      </c>
      <c r="V2099" t="s">
        <v>4647</v>
      </c>
      <c r="AH2099" t="s">
        <v>359</v>
      </c>
    </row>
    <row r="2100" spans="1:34" ht="15.75">
      <c r="A2100" s="29">
        <f t="shared" si="32"/>
        <v>144</v>
      </c>
      <c r="B2100" s="2">
        <v>439</v>
      </c>
      <c r="C2100" s="2">
        <v>8</v>
      </c>
      <c r="D2100" s="2">
        <v>1817</v>
      </c>
      <c r="E2100">
        <v>8090</v>
      </c>
      <c r="H2100" t="s">
        <v>1541</v>
      </c>
      <c r="I2100" s="2">
        <v>144</v>
      </c>
      <c r="J2100" s="2">
        <v>0</v>
      </c>
      <c r="K2100" s="2" t="s">
        <v>864</v>
      </c>
      <c r="L2100" s="43" t="s">
        <v>4485</v>
      </c>
      <c r="P2100" s="41">
        <v>2</v>
      </c>
      <c r="Q2100" s="41">
        <v>7</v>
      </c>
      <c r="R2100" s="41">
        <v>60</v>
      </c>
      <c r="S2100" t="s">
        <v>3329</v>
      </c>
      <c r="AH2100" t="s">
        <v>359</v>
      </c>
    </row>
    <row r="2101" spans="1:34" ht="15.75">
      <c r="A2101" s="29">
        <f t="shared" si="32"/>
        <v>94733</v>
      </c>
      <c r="B2101" s="2">
        <v>439</v>
      </c>
      <c r="C2101" s="2">
        <v>8</v>
      </c>
      <c r="D2101" s="2">
        <v>1817</v>
      </c>
      <c r="E2101">
        <v>8091</v>
      </c>
      <c r="H2101" t="s">
        <v>1541</v>
      </c>
      <c r="I2101" s="2">
        <v>2733</v>
      </c>
      <c r="J2101" s="2">
        <f>4400+200</f>
        <v>4600</v>
      </c>
      <c r="K2101" s="2" t="s">
        <v>864</v>
      </c>
      <c r="L2101" s="43" t="s">
        <v>4486</v>
      </c>
      <c r="M2101" s="41" t="s">
        <v>4487</v>
      </c>
      <c r="O2101" s="41" t="s">
        <v>4488</v>
      </c>
      <c r="P2101" s="41">
        <v>14</v>
      </c>
      <c r="Q2101" s="41">
        <v>9</v>
      </c>
      <c r="R2101" s="41">
        <v>46</v>
      </c>
      <c r="S2101" t="s">
        <v>4489</v>
      </c>
      <c r="T2101" t="s">
        <v>4490</v>
      </c>
      <c r="V2101" t="s">
        <v>4491</v>
      </c>
      <c r="X2101">
        <v>1</v>
      </c>
      <c r="Y2101" t="s">
        <v>4492</v>
      </c>
      <c r="AH2101" t="s">
        <v>359</v>
      </c>
    </row>
    <row r="2102" spans="1:34" ht="15.75">
      <c r="A2102" s="29">
        <f t="shared" si="32"/>
        <v>788430</v>
      </c>
      <c r="B2102" s="2">
        <v>439</v>
      </c>
      <c r="C2102" s="2">
        <v>8</v>
      </c>
      <c r="D2102" s="2">
        <v>1817</v>
      </c>
      <c r="E2102">
        <v>8092</v>
      </c>
      <c r="H2102" t="s">
        <v>1540</v>
      </c>
      <c r="I2102" s="2">
        <f>634558+153872</f>
        <v>788430</v>
      </c>
      <c r="J2102" s="2">
        <v>0</v>
      </c>
      <c r="K2102" s="2" t="s">
        <v>864</v>
      </c>
      <c r="L2102" s="43" t="s">
        <v>4493</v>
      </c>
      <c r="M2102" s="41" t="s">
        <v>5765</v>
      </c>
      <c r="N2102" s="41" t="s">
        <v>3447</v>
      </c>
      <c r="O2102" s="41" t="s">
        <v>4494</v>
      </c>
      <c r="P2102" s="41">
        <v>27</v>
      </c>
      <c r="Q2102" s="41">
        <v>2</v>
      </c>
      <c r="R2102" s="41">
        <v>72</v>
      </c>
      <c r="S2102" t="s">
        <v>4495</v>
      </c>
      <c r="T2102" t="s">
        <v>4496</v>
      </c>
      <c r="V2102" t="s">
        <v>4497</v>
      </c>
      <c r="AA2102" t="s">
        <v>4498</v>
      </c>
      <c r="AH2102" t="s">
        <v>359</v>
      </c>
    </row>
    <row r="2103" spans="1:34" ht="15.75">
      <c r="A2103" s="29">
        <f t="shared" si="32"/>
        <v>163628</v>
      </c>
      <c r="B2103" s="2">
        <v>439</v>
      </c>
      <c r="C2103" s="2">
        <v>8</v>
      </c>
      <c r="D2103" s="2">
        <v>1817</v>
      </c>
      <c r="E2103">
        <v>8093</v>
      </c>
      <c r="H2103" t="s">
        <v>1541</v>
      </c>
      <c r="I2103" s="2">
        <f>11828+3000</f>
        <v>14828</v>
      </c>
      <c r="J2103" s="2">
        <v>7440</v>
      </c>
      <c r="K2103" s="2" t="s">
        <v>864</v>
      </c>
      <c r="L2103" s="43" t="s">
        <v>4499</v>
      </c>
      <c r="M2103" s="41" t="s">
        <v>4500</v>
      </c>
      <c r="O2103" s="41" t="s">
        <v>4501</v>
      </c>
      <c r="P2103" s="41">
        <v>27</v>
      </c>
      <c r="Q2103" s="41">
        <v>11</v>
      </c>
      <c r="R2103" s="41">
        <v>40</v>
      </c>
      <c r="S2103" t="s">
        <v>4502</v>
      </c>
      <c r="T2103" t="s">
        <v>4503</v>
      </c>
      <c r="V2103" t="s">
        <v>4504</v>
      </c>
      <c r="X2103">
        <v>1</v>
      </c>
      <c r="Y2103" t="s">
        <v>4505</v>
      </c>
      <c r="AH2103" t="s">
        <v>359</v>
      </c>
    </row>
    <row r="2104" spans="1:34" ht="15.75">
      <c r="A2104" s="29">
        <f t="shared" si="32"/>
        <v>3129</v>
      </c>
      <c r="B2104" s="2">
        <v>439</v>
      </c>
      <c r="C2104" s="2">
        <v>8</v>
      </c>
      <c r="D2104" s="2">
        <v>1817</v>
      </c>
      <c r="E2104">
        <v>8094</v>
      </c>
      <c r="H2104" t="s">
        <v>1541</v>
      </c>
      <c r="I2104" s="2">
        <v>3129</v>
      </c>
      <c r="J2104" s="2">
        <v>0</v>
      </c>
      <c r="K2104" s="2" t="s">
        <v>864</v>
      </c>
      <c r="L2104" s="43" t="s">
        <v>539</v>
      </c>
      <c r="P2104" s="41">
        <v>1</v>
      </c>
      <c r="Q2104" s="41">
        <v>1</v>
      </c>
      <c r="R2104" s="41">
        <v>49</v>
      </c>
      <c r="S2104" t="s">
        <v>3321</v>
      </c>
      <c r="AH2104" t="s">
        <v>359</v>
      </c>
    </row>
    <row r="2105" spans="1:34" ht="15.75">
      <c r="A2105" s="29">
        <f t="shared" si="32"/>
        <v>56580</v>
      </c>
      <c r="B2105" s="2">
        <v>439</v>
      </c>
      <c r="C2105" s="2">
        <v>8</v>
      </c>
      <c r="D2105" s="2">
        <v>1817</v>
      </c>
      <c r="E2105">
        <v>8095</v>
      </c>
      <c r="H2105" t="s">
        <v>1541</v>
      </c>
      <c r="I2105" s="2">
        <v>56580</v>
      </c>
      <c r="J2105" s="2">
        <v>0</v>
      </c>
      <c r="K2105" s="2" t="s">
        <v>864</v>
      </c>
      <c r="L2105" s="43" t="s">
        <v>4506</v>
      </c>
      <c r="M2105" s="41" t="s">
        <v>4507</v>
      </c>
      <c r="O2105" s="41" t="s">
        <v>4508</v>
      </c>
      <c r="P2105" s="41">
        <v>19</v>
      </c>
      <c r="Q2105" s="41">
        <v>7</v>
      </c>
      <c r="S2105" t="s">
        <v>4509</v>
      </c>
      <c r="T2105" t="s">
        <v>2974</v>
      </c>
      <c r="U2105" t="s">
        <v>4510</v>
      </c>
      <c r="V2105" t="s">
        <v>2975</v>
      </c>
      <c r="AH2105" t="s">
        <v>359</v>
      </c>
    </row>
    <row r="2106" spans="1:34" ht="15.75">
      <c r="A2106" s="29">
        <f t="shared" si="32"/>
        <v>105</v>
      </c>
      <c r="B2106" s="2">
        <v>439</v>
      </c>
      <c r="C2106" s="2">
        <v>8</v>
      </c>
      <c r="D2106" s="2">
        <v>1817</v>
      </c>
      <c r="E2106">
        <v>8097</v>
      </c>
      <c r="H2106" t="s">
        <v>1541</v>
      </c>
      <c r="I2106" s="2">
        <v>105</v>
      </c>
      <c r="J2106" s="2">
        <v>0</v>
      </c>
      <c r="K2106" s="2" t="s">
        <v>864</v>
      </c>
      <c r="L2106" s="43" t="s">
        <v>2433</v>
      </c>
      <c r="P2106" s="41">
        <v>17</v>
      </c>
      <c r="Q2106" s="41">
        <v>1</v>
      </c>
      <c r="R2106" s="41">
        <v>19</v>
      </c>
      <c r="S2106" t="s">
        <v>3343</v>
      </c>
      <c r="AH2106" t="s">
        <v>359</v>
      </c>
    </row>
    <row r="2107" spans="1:34" ht="15.75">
      <c r="A2107" s="29">
        <f t="shared" si="32"/>
        <v>896090</v>
      </c>
      <c r="B2107" s="2">
        <v>440</v>
      </c>
      <c r="C2107" s="2">
        <v>8</v>
      </c>
      <c r="D2107" s="2">
        <v>1817</v>
      </c>
      <c r="E2107">
        <v>8118</v>
      </c>
      <c r="H2107" t="s">
        <v>1541</v>
      </c>
      <c r="I2107" s="2">
        <v>746090</v>
      </c>
      <c r="J2107" s="2">
        <v>7500</v>
      </c>
      <c r="K2107" s="2" t="s">
        <v>864</v>
      </c>
      <c r="L2107" s="43" t="s">
        <v>4511</v>
      </c>
      <c r="M2107" s="41" t="s">
        <v>4512</v>
      </c>
      <c r="N2107" s="41" t="s">
        <v>4513</v>
      </c>
      <c r="O2107" s="41" t="s">
        <v>4514</v>
      </c>
      <c r="P2107" s="41">
        <v>13</v>
      </c>
      <c r="Q2107" s="41">
        <v>2</v>
      </c>
      <c r="R2107" s="41">
        <v>84</v>
      </c>
      <c r="S2107" t="s">
        <v>4515</v>
      </c>
      <c r="T2107" t="s">
        <v>4516</v>
      </c>
      <c r="V2107" t="s">
        <v>5817</v>
      </c>
      <c r="X2107">
        <v>1</v>
      </c>
      <c r="Y2107" t="s">
        <v>4514</v>
      </c>
      <c r="AH2107" t="s">
        <v>359</v>
      </c>
    </row>
    <row r="2108" spans="1:34" ht="15.75">
      <c r="A2108" s="29">
        <f t="shared" si="32"/>
        <v>99</v>
      </c>
      <c r="B2108" s="2">
        <v>440</v>
      </c>
      <c r="C2108" s="2">
        <v>8</v>
      </c>
      <c r="D2108" s="2">
        <v>1817</v>
      </c>
      <c r="E2108">
        <v>8119</v>
      </c>
      <c r="H2108" t="s">
        <v>1541</v>
      </c>
      <c r="I2108" s="2">
        <v>99</v>
      </c>
      <c r="J2108" s="2">
        <v>0</v>
      </c>
      <c r="K2108" s="2" t="s">
        <v>864</v>
      </c>
      <c r="L2108" s="43" t="s">
        <v>5723</v>
      </c>
      <c r="P2108" s="41">
        <v>6</v>
      </c>
      <c r="Q2108" s="41">
        <v>4</v>
      </c>
      <c r="R2108" s="41">
        <v>65</v>
      </c>
      <c r="S2108" t="s">
        <v>3343</v>
      </c>
      <c r="AH2108" t="s">
        <v>359</v>
      </c>
    </row>
    <row r="2109" spans="1:34" ht="15.75">
      <c r="A2109" s="29">
        <f t="shared" si="32"/>
        <v>500</v>
      </c>
      <c r="B2109" s="2">
        <v>440</v>
      </c>
      <c r="C2109" s="2">
        <v>8</v>
      </c>
      <c r="D2109" s="2">
        <v>1817</v>
      </c>
      <c r="E2109">
        <v>8120</v>
      </c>
      <c r="H2109" t="s">
        <v>1541</v>
      </c>
      <c r="I2109" s="2">
        <v>500</v>
      </c>
      <c r="J2109" s="2">
        <v>0</v>
      </c>
      <c r="K2109" s="2" t="s">
        <v>864</v>
      </c>
      <c r="L2109" s="43" t="s">
        <v>5723</v>
      </c>
      <c r="P2109" s="41">
        <v>29</v>
      </c>
      <c r="Q2109" s="41">
        <v>4</v>
      </c>
      <c r="R2109" s="41">
        <v>61</v>
      </c>
      <c r="S2109" t="s">
        <v>3329</v>
      </c>
      <c r="AH2109" t="s">
        <v>359</v>
      </c>
    </row>
    <row r="2110" spans="1:34" ht="15.75">
      <c r="A2110" s="29">
        <f t="shared" si="32"/>
        <v>480</v>
      </c>
      <c r="B2110" s="2">
        <v>440</v>
      </c>
      <c r="C2110" s="2">
        <v>8</v>
      </c>
      <c r="D2110" s="2">
        <v>1817</v>
      </c>
      <c r="E2110">
        <v>8121</v>
      </c>
      <c r="H2110" t="s">
        <v>1541</v>
      </c>
      <c r="I2110" s="2">
        <v>480</v>
      </c>
      <c r="J2110" s="2">
        <v>0</v>
      </c>
      <c r="K2110" s="2" t="s">
        <v>864</v>
      </c>
      <c r="L2110" s="43" t="s">
        <v>5723</v>
      </c>
      <c r="P2110" s="41">
        <v>20</v>
      </c>
      <c r="Q2110" s="41">
        <v>5</v>
      </c>
      <c r="R2110" s="41">
        <v>81</v>
      </c>
      <c r="S2110" t="s">
        <v>3329</v>
      </c>
      <c r="AH2110" t="s">
        <v>359</v>
      </c>
    </row>
    <row r="2111" spans="1:34" ht="15.75">
      <c r="A2111" s="29">
        <f t="shared" si="32"/>
        <v>5329</v>
      </c>
      <c r="B2111" s="2">
        <v>440</v>
      </c>
      <c r="C2111" s="2">
        <v>8</v>
      </c>
      <c r="D2111" s="2">
        <v>1817</v>
      </c>
      <c r="E2111">
        <v>8122</v>
      </c>
      <c r="H2111" t="s">
        <v>1540</v>
      </c>
      <c r="I2111" s="2">
        <v>5329</v>
      </c>
      <c r="J2111" s="2">
        <v>0</v>
      </c>
      <c r="K2111" s="2" t="s">
        <v>864</v>
      </c>
      <c r="L2111" s="43" t="s">
        <v>5723</v>
      </c>
      <c r="P2111" s="41">
        <v>28</v>
      </c>
      <c r="Q2111" s="41">
        <v>9</v>
      </c>
      <c r="R2111" s="41">
        <v>71</v>
      </c>
      <c r="S2111" t="s">
        <v>3324</v>
      </c>
      <c r="AH2111" t="s">
        <v>359</v>
      </c>
    </row>
    <row r="2112" spans="1:34" ht="15.75">
      <c r="A2112" s="29">
        <f t="shared" si="32"/>
        <v>148</v>
      </c>
      <c r="B2112" s="2">
        <v>440</v>
      </c>
      <c r="C2112" s="2">
        <v>8</v>
      </c>
      <c r="D2112" s="2">
        <v>1817</v>
      </c>
      <c r="E2112">
        <v>8123</v>
      </c>
      <c r="H2112" t="s">
        <v>1541</v>
      </c>
      <c r="I2112" s="2">
        <v>148</v>
      </c>
      <c r="J2112" s="2">
        <v>0</v>
      </c>
      <c r="K2112" s="2" t="s">
        <v>864</v>
      </c>
      <c r="L2112" s="43" t="s">
        <v>5723</v>
      </c>
      <c r="P2112" s="41">
        <v>30</v>
      </c>
      <c r="Q2112" s="41">
        <v>8</v>
      </c>
      <c r="R2112" s="41">
        <v>89</v>
      </c>
      <c r="S2112" t="s">
        <v>3329</v>
      </c>
      <c r="AH2112" t="s">
        <v>359</v>
      </c>
    </row>
    <row r="2113" spans="1:34" ht="15.75">
      <c r="A2113" s="29">
        <f t="shared" si="32"/>
        <v>16194</v>
      </c>
      <c r="B2113" s="2">
        <v>440</v>
      </c>
      <c r="C2113" s="2">
        <v>8</v>
      </c>
      <c r="D2113" s="2">
        <v>1817</v>
      </c>
      <c r="E2113">
        <v>8124</v>
      </c>
      <c r="H2113" t="s">
        <v>1541</v>
      </c>
      <c r="I2113" s="2">
        <v>3084</v>
      </c>
      <c r="J2113" s="2">
        <f>8688+1800</f>
        <v>10488</v>
      </c>
      <c r="K2113" s="2" t="s">
        <v>864</v>
      </c>
      <c r="L2113" s="43" t="s">
        <v>4517</v>
      </c>
      <c r="M2113" s="41" t="s">
        <v>4518</v>
      </c>
      <c r="N2113" s="41" t="s">
        <v>1555</v>
      </c>
      <c r="O2113" s="41" t="s">
        <v>4519</v>
      </c>
      <c r="P2113" s="41">
        <v>29</v>
      </c>
      <c r="Q2113" s="41">
        <v>6</v>
      </c>
      <c r="R2113" s="41">
        <v>53</v>
      </c>
      <c r="S2113" t="s">
        <v>4520</v>
      </c>
      <c r="T2113" t="s">
        <v>4521</v>
      </c>
      <c r="V2113" t="s">
        <v>4522</v>
      </c>
      <c r="X2113">
        <f>1/16</f>
        <v>0.0625</v>
      </c>
      <c r="Y2113" t="s">
        <v>4523</v>
      </c>
      <c r="AH2113" t="s">
        <v>359</v>
      </c>
    </row>
    <row r="2114" spans="1:34" ht="15.75">
      <c r="A2114" s="29">
        <f aca="true" t="shared" si="33" ref="A2114:A2177">I2114+J2114*20*X2114</f>
        <v>3500</v>
      </c>
      <c r="B2114" s="2">
        <v>440</v>
      </c>
      <c r="C2114" s="2">
        <v>8</v>
      </c>
      <c r="D2114" s="2">
        <v>1817</v>
      </c>
      <c r="E2114">
        <v>8125</v>
      </c>
      <c r="H2114" t="s">
        <v>1541</v>
      </c>
      <c r="I2114" s="2">
        <v>3500</v>
      </c>
      <c r="J2114" s="2">
        <v>0</v>
      </c>
      <c r="K2114" s="2" t="s">
        <v>864</v>
      </c>
      <c r="L2114" s="43" t="s">
        <v>5723</v>
      </c>
      <c r="P2114" s="41">
        <v>18</v>
      </c>
      <c r="Q2114" s="41">
        <v>12</v>
      </c>
      <c r="R2114" s="41">
        <v>33</v>
      </c>
      <c r="S2114" t="s">
        <v>3321</v>
      </c>
      <c r="AH2114" t="s">
        <v>359</v>
      </c>
    </row>
    <row r="2115" spans="1:34" ht="15.75">
      <c r="A2115" s="29">
        <f t="shared" si="33"/>
        <v>251</v>
      </c>
      <c r="B2115" s="2">
        <v>440</v>
      </c>
      <c r="C2115" s="2">
        <v>8</v>
      </c>
      <c r="D2115" s="2">
        <v>1817</v>
      </c>
      <c r="E2115">
        <v>8126</v>
      </c>
      <c r="H2115" t="s">
        <v>1541</v>
      </c>
      <c r="I2115" s="2">
        <v>251</v>
      </c>
      <c r="J2115" s="2">
        <v>0</v>
      </c>
      <c r="K2115" s="2" t="s">
        <v>864</v>
      </c>
      <c r="L2115" s="43" t="s">
        <v>5723</v>
      </c>
      <c r="P2115" s="41">
        <v>6</v>
      </c>
      <c r="Q2115" s="41">
        <v>12</v>
      </c>
      <c r="R2115" s="41">
        <v>21</v>
      </c>
      <c r="S2115" t="s">
        <v>3343</v>
      </c>
      <c r="AH2115" t="s">
        <v>359</v>
      </c>
    </row>
    <row r="2116" spans="1:34" ht="15.75">
      <c r="A2116" s="29">
        <f t="shared" si="33"/>
        <v>3226</v>
      </c>
      <c r="B2116" s="2">
        <v>440</v>
      </c>
      <c r="C2116" s="2">
        <v>8</v>
      </c>
      <c r="D2116" s="2">
        <v>1817</v>
      </c>
      <c r="E2116">
        <v>8127</v>
      </c>
      <c r="H2116" t="s">
        <v>1541</v>
      </c>
      <c r="I2116" s="2">
        <v>3226</v>
      </c>
      <c r="J2116" s="2">
        <v>0</v>
      </c>
      <c r="K2116" s="2" t="s">
        <v>864</v>
      </c>
      <c r="L2116" s="43" t="s">
        <v>4524</v>
      </c>
      <c r="P2116" s="41">
        <v>26</v>
      </c>
      <c r="Q2116" s="41">
        <v>4</v>
      </c>
      <c r="R2116" s="41">
        <v>57</v>
      </c>
      <c r="S2116" t="s">
        <v>4318</v>
      </c>
      <c r="AH2116" t="s">
        <v>359</v>
      </c>
    </row>
    <row r="2117" spans="1:34" ht="15.75">
      <c r="A2117" s="29">
        <f t="shared" si="33"/>
        <v>17129</v>
      </c>
      <c r="B2117" s="8">
        <v>440</v>
      </c>
      <c r="C2117" s="8">
        <v>8</v>
      </c>
      <c r="D2117" s="8">
        <v>1817</v>
      </c>
      <c r="E2117">
        <v>8128</v>
      </c>
      <c r="F2117" s="9"/>
      <c r="G2117" s="9"/>
      <c r="H2117" s="9" t="s">
        <v>1541</v>
      </c>
      <c r="I2117" s="8">
        <v>17129</v>
      </c>
      <c r="J2117" s="8">
        <v>0</v>
      </c>
      <c r="K2117" s="2" t="s">
        <v>864</v>
      </c>
      <c r="L2117" s="43" t="s">
        <v>4525</v>
      </c>
      <c r="M2117" s="41" t="s">
        <v>4526</v>
      </c>
      <c r="O2117" s="41" t="s">
        <v>4527</v>
      </c>
      <c r="P2117" s="41">
        <v>12</v>
      </c>
      <c r="Q2117" s="41">
        <v>6</v>
      </c>
      <c r="R2117" s="41">
        <v>12</v>
      </c>
      <c r="S2117" t="s">
        <v>4528</v>
      </c>
      <c r="T2117" t="s">
        <v>4529</v>
      </c>
      <c r="V2117" t="s">
        <v>1182</v>
      </c>
      <c r="AH2117" t="s">
        <v>359</v>
      </c>
    </row>
    <row r="2118" spans="1:34" ht="15.75">
      <c r="A2118" s="29">
        <f t="shared" si="33"/>
        <v>11905</v>
      </c>
      <c r="B2118" s="8">
        <v>440</v>
      </c>
      <c r="C2118" s="8">
        <v>8</v>
      </c>
      <c r="D2118" s="8">
        <v>1817</v>
      </c>
      <c r="E2118">
        <v>8129</v>
      </c>
      <c r="F2118" s="9"/>
      <c r="G2118" s="9"/>
      <c r="H2118" s="9" t="s">
        <v>1540</v>
      </c>
      <c r="I2118" s="8">
        <v>11905</v>
      </c>
      <c r="J2118" s="8">
        <v>0</v>
      </c>
      <c r="K2118" s="2" t="s">
        <v>864</v>
      </c>
      <c r="L2118" s="43" t="s">
        <v>5726</v>
      </c>
      <c r="P2118" s="41">
        <v>12</v>
      </c>
      <c r="Q2118" s="41">
        <v>4</v>
      </c>
      <c r="R2118" s="41">
        <v>76</v>
      </c>
      <c r="S2118" t="s">
        <v>3321</v>
      </c>
      <c r="AH2118" t="s">
        <v>359</v>
      </c>
    </row>
    <row r="2119" spans="1:34" ht="15.75">
      <c r="A2119" s="29">
        <f t="shared" si="33"/>
        <v>1189</v>
      </c>
      <c r="B2119" s="8">
        <v>440</v>
      </c>
      <c r="C2119" s="8">
        <v>8</v>
      </c>
      <c r="D2119" s="8">
        <v>1817</v>
      </c>
      <c r="E2119">
        <v>8130</v>
      </c>
      <c r="F2119" s="9"/>
      <c r="G2119" s="9"/>
      <c r="H2119" s="9" t="s">
        <v>1541</v>
      </c>
      <c r="I2119" s="8">
        <v>1189</v>
      </c>
      <c r="J2119" s="8">
        <v>0</v>
      </c>
      <c r="K2119" s="2" t="s">
        <v>864</v>
      </c>
      <c r="L2119" s="43" t="s">
        <v>5726</v>
      </c>
      <c r="P2119" s="41">
        <v>28</v>
      </c>
      <c r="Q2119" s="41">
        <v>3</v>
      </c>
      <c r="R2119" s="41" t="s">
        <v>868</v>
      </c>
      <c r="S2119" t="s">
        <v>3329</v>
      </c>
      <c r="AH2119" t="s">
        <v>359</v>
      </c>
    </row>
    <row r="2120" spans="1:34" ht="15.75">
      <c r="A2120" s="29">
        <f t="shared" si="33"/>
        <v>277</v>
      </c>
      <c r="B2120" s="8">
        <v>440</v>
      </c>
      <c r="C2120" s="8">
        <v>8</v>
      </c>
      <c r="D2120" s="8">
        <v>1817</v>
      </c>
      <c r="E2120">
        <v>8131</v>
      </c>
      <c r="F2120" s="9"/>
      <c r="G2120" s="9"/>
      <c r="H2120" s="9" t="s">
        <v>1541</v>
      </c>
      <c r="I2120" s="8">
        <v>277</v>
      </c>
      <c r="J2120" s="8">
        <v>0</v>
      </c>
      <c r="K2120" s="2" t="s">
        <v>864</v>
      </c>
      <c r="L2120" s="43" t="s">
        <v>4530</v>
      </c>
      <c r="P2120" s="41">
        <v>6</v>
      </c>
      <c r="Q2120" s="41">
        <v>1</v>
      </c>
      <c r="R2120" s="41">
        <v>52</v>
      </c>
      <c r="S2120" t="s">
        <v>3321</v>
      </c>
      <c r="AH2120" t="s">
        <v>359</v>
      </c>
    </row>
    <row r="2121" spans="1:34" ht="15.75">
      <c r="A2121" s="29">
        <f t="shared" si="33"/>
        <v>51808</v>
      </c>
      <c r="B2121" s="8">
        <v>440</v>
      </c>
      <c r="C2121" s="8">
        <v>8</v>
      </c>
      <c r="D2121" s="8">
        <v>1817</v>
      </c>
      <c r="E2121">
        <v>8132</v>
      </c>
      <c r="F2121" s="9"/>
      <c r="G2121" s="9"/>
      <c r="H2121" s="9" t="s">
        <v>1540</v>
      </c>
      <c r="I2121" s="8">
        <v>5808</v>
      </c>
      <c r="J2121" s="8">
        <v>4600</v>
      </c>
      <c r="K2121" s="2" t="s">
        <v>864</v>
      </c>
      <c r="L2121" s="43" t="s">
        <v>4531</v>
      </c>
      <c r="M2121" s="41" t="s">
        <v>4532</v>
      </c>
      <c r="N2121" s="41" t="s">
        <v>1555</v>
      </c>
      <c r="O2121" s="41" t="s">
        <v>4533</v>
      </c>
      <c r="P2121" s="41">
        <v>23</v>
      </c>
      <c r="Q2121" s="41">
        <v>7</v>
      </c>
      <c r="R2121" s="41">
        <v>64</v>
      </c>
      <c r="S2121" t="s">
        <v>4534</v>
      </c>
      <c r="T2121" t="s">
        <v>4535</v>
      </c>
      <c r="V2121" t="s">
        <v>1611</v>
      </c>
      <c r="X2121">
        <v>0.5</v>
      </c>
      <c r="Y2121" t="s">
        <v>4536</v>
      </c>
      <c r="AH2121" t="s">
        <v>359</v>
      </c>
    </row>
    <row r="2122" spans="1:34" ht="15.75">
      <c r="A2122" s="29">
        <f t="shared" si="33"/>
        <v>16508</v>
      </c>
      <c r="B2122" s="8">
        <v>440</v>
      </c>
      <c r="C2122" s="8">
        <v>8</v>
      </c>
      <c r="D2122" s="8">
        <v>1817</v>
      </c>
      <c r="E2122">
        <v>8133</v>
      </c>
      <c r="F2122" s="9"/>
      <c r="G2122" s="9"/>
      <c r="H2122" s="9" t="s">
        <v>1540</v>
      </c>
      <c r="I2122" s="8">
        <v>16508</v>
      </c>
      <c r="J2122" s="8">
        <v>0</v>
      </c>
      <c r="K2122" s="2" t="s">
        <v>864</v>
      </c>
      <c r="L2122" s="43" t="s">
        <v>4537</v>
      </c>
      <c r="M2122" s="41" t="s">
        <v>4538</v>
      </c>
      <c r="N2122" s="41" t="s">
        <v>4539</v>
      </c>
      <c r="O2122" s="41" t="s">
        <v>4540</v>
      </c>
      <c r="P2122" s="41">
        <v>22</v>
      </c>
      <c r="Q2122" s="41">
        <v>8</v>
      </c>
      <c r="R2122" s="41">
        <v>81</v>
      </c>
      <c r="S2122" t="s">
        <v>3343</v>
      </c>
      <c r="T2122" t="s">
        <v>5835</v>
      </c>
      <c r="V2122" t="s">
        <v>2403</v>
      </c>
      <c r="AH2122" t="s">
        <v>359</v>
      </c>
    </row>
    <row r="2123" spans="1:34" ht="15.75">
      <c r="A2123" s="29">
        <f t="shared" si="33"/>
        <v>300</v>
      </c>
      <c r="B2123" s="8">
        <v>440</v>
      </c>
      <c r="C2123" s="8">
        <v>8</v>
      </c>
      <c r="D2123" s="8">
        <v>1817</v>
      </c>
      <c r="E2123">
        <v>8134</v>
      </c>
      <c r="F2123" s="9"/>
      <c r="G2123" s="9"/>
      <c r="H2123" s="9" t="s">
        <v>1540</v>
      </c>
      <c r="I2123" s="8">
        <v>300</v>
      </c>
      <c r="J2123" s="8">
        <v>0</v>
      </c>
      <c r="K2123" s="2" t="s">
        <v>864</v>
      </c>
      <c r="L2123" s="43" t="s">
        <v>4707</v>
      </c>
      <c r="P2123" s="41">
        <v>20</v>
      </c>
      <c r="Q2123" s="41">
        <v>7</v>
      </c>
      <c r="R2123" s="41">
        <v>68</v>
      </c>
      <c r="S2123" t="s">
        <v>3321</v>
      </c>
      <c r="AH2123" t="s">
        <v>359</v>
      </c>
    </row>
    <row r="2124" spans="1:34" ht="15.75">
      <c r="A2124" s="29">
        <f t="shared" si="33"/>
        <v>17372</v>
      </c>
      <c r="B2124" s="8">
        <v>440</v>
      </c>
      <c r="C2124" s="8">
        <v>8</v>
      </c>
      <c r="D2124" s="8">
        <v>1817</v>
      </c>
      <c r="E2124">
        <v>8135</v>
      </c>
      <c r="F2124" s="9"/>
      <c r="G2124" s="9"/>
      <c r="H2124" s="9" t="s">
        <v>1540</v>
      </c>
      <c r="I2124" s="8">
        <v>17372</v>
      </c>
      <c r="J2124" s="8">
        <v>0</v>
      </c>
      <c r="K2124" s="2" t="s">
        <v>864</v>
      </c>
      <c r="L2124" s="43" t="s">
        <v>4541</v>
      </c>
      <c r="M2124" s="41" t="s">
        <v>4542</v>
      </c>
      <c r="N2124" s="41" t="s">
        <v>4543</v>
      </c>
      <c r="O2124" s="41" t="s">
        <v>4544</v>
      </c>
      <c r="P2124" s="41">
        <v>27</v>
      </c>
      <c r="Q2124" s="41">
        <v>1</v>
      </c>
      <c r="R2124" s="41">
        <v>67</v>
      </c>
      <c r="S2124" t="s">
        <v>4545</v>
      </c>
      <c r="T2124" t="s">
        <v>4546</v>
      </c>
      <c r="V2124" t="s">
        <v>1664</v>
      </c>
      <c r="AH2124" t="s">
        <v>359</v>
      </c>
    </row>
    <row r="2125" spans="1:34" ht="15.75">
      <c r="A2125" s="29">
        <f t="shared" si="33"/>
        <v>5016</v>
      </c>
      <c r="B2125" s="2">
        <v>440</v>
      </c>
      <c r="C2125" s="2">
        <v>8</v>
      </c>
      <c r="D2125" s="2">
        <v>1817</v>
      </c>
      <c r="E2125">
        <v>8136</v>
      </c>
      <c r="H2125" t="s">
        <v>1541</v>
      </c>
      <c r="I2125" s="2">
        <f>2380+2636</f>
        <v>5016</v>
      </c>
      <c r="J2125" s="2">
        <v>0</v>
      </c>
      <c r="K2125" s="2" t="s">
        <v>864</v>
      </c>
      <c r="L2125" s="43" t="s">
        <v>4441</v>
      </c>
      <c r="P2125" s="41">
        <v>29</v>
      </c>
      <c r="Q2125" s="41">
        <v>5</v>
      </c>
      <c r="R2125" s="41" t="s">
        <v>868</v>
      </c>
      <c r="S2125" t="s">
        <v>3321</v>
      </c>
      <c r="AH2125" t="s">
        <v>359</v>
      </c>
    </row>
    <row r="2126" spans="1:34" ht="15.75">
      <c r="A2126" s="29">
        <f t="shared" si="33"/>
        <v>150</v>
      </c>
      <c r="B2126" s="2">
        <v>440</v>
      </c>
      <c r="C2126" s="2">
        <v>8</v>
      </c>
      <c r="D2126" s="2">
        <v>1817</v>
      </c>
      <c r="E2126">
        <v>8137</v>
      </c>
      <c r="H2126" t="s">
        <v>1541</v>
      </c>
      <c r="I2126" s="2">
        <v>150</v>
      </c>
      <c r="J2126" s="2">
        <v>0</v>
      </c>
      <c r="K2126" s="2" t="s">
        <v>864</v>
      </c>
      <c r="L2126" s="43" t="s">
        <v>3644</v>
      </c>
      <c r="P2126" s="41">
        <v>6</v>
      </c>
      <c r="Q2126" s="41">
        <v>3</v>
      </c>
      <c r="R2126" s="41">
        <v>86</v>
      </c>
      <c r="S2126" t="s">
        <v>3321</v>
      </c>
      <c r="AH2126" t="s">
        <v>359</v>
      </c>
    </row>
    <row r="2127" spans="1:34" ht="15.75">
      <c r="A2127" s="29">
        <f t="shared" si="33"/>
        <v>1992</v>
      </c>
      <c r="B2127" s="2">
        <v>440</v>
      </c>
      <c r="C2127" s="2">
        <v>8</v>
      </c>
      <c r="D2127" s="2">
        <v>1817</v>
      </c>
      <c r="E2127">
        <v>8138</v>
      </c>
      <c r="H2127" t="s">
        <v>1541</v>
      </c>
      <c r="I2127" s="2">
        <v>1992</v>
      </c>
      <c r="J2127" s="2">
        <v>0</v>
      </c>
      <c r="K2127" s="2" t="s">
        <v>864</v>
      </c>
      <c r="L2127" s="43" t="s">
        <v>3644</v>
      </c>
      <c r="P2127" s="41">
        <v>23</v>
      </c>
      <c r="Q2127" s="41">
        <v>10</v>
      </c>
      <c r="R2127" s="41">
        <v>53</v>
      </c>
      <c r="S2127" t="s">
        <v>3321</v>
      </c>
      <c r="AH2127" t="s">
        <v>359</v>
      </c>
    </row>
    <row r="2128" spans="1:34" ht="15.75">
      <c r="A2128" s="29">
        <f t="shared" si="33"/>
        <v>125</v>
      </c>
      <c r="B2128" s="2">
        <v>440</v>
      </c>
      <c r="C2128" s="2">
        <v>8</v>
      </c>
      <c r="D2128" s="2">
        <v>1817</v>
      </c>
      <c r="E2128">
        <v>8139</v>
      </c>
      <c r="H2128" t="s">
        <v>1541</v>
      </c>
      <c r="I2128" s="2">
        <v>125</v>
      </c>
      <c r="J2128" s="2">
        <v>0</v>
      </c>
      <c r="K2128" s="2" t="s">
        <v>864</v>
      </c>
      <c r="L2128" s="43" t="s">
        <v>2441</v>
      </c>
      <c r="P2128" s="41">
        <v>8</v>
      </c>
      <c r="Q2128" s="41">
        <v>5</v>
      </c>
      <c r="R2128" s="41">
        <v>61</v>
      </c>
      <c r="S2128" t="s">
        <v>3321</v>
      </c>
      <c r="AH2128" t="s">
        <v>359</v>
      </c>
    </row>
    <row r="2129" spans="1:34" ht="15.75">
      <c r="A2129" s="29">
        <f t="shared" si="33"/>
        <v>529</v>
      </c>
      <c r="B2129" s="2">
        <v>440</v>
      </c>
      <c r="C2129" s="2">
        <v>8</v>
      </c>
      <c r="D2129" s="2">
        <v>1817</v>
      </c>
      <c r="E2129">
        <v>8140</v>
      </c>
      <c r="H2129" t="s">
        <v>1541</v>
      </c>
      <c r="I2129" s="2">
        <v>529</v>
      </c>
      <c r="J2129" s="2">
        <v>0</v>
      </c>
      <c r="K2129" s="2" t="s">
        <v>864</v>
      </c>
      <c r="L2129" s="43" t="s">
        <v>3677</v>
      </c>
      <c r="P2129" s="41">
        <v>4</v>
      </c>
      <c r="Q2129" s="41">
        <v>5</v>
      </c>
      <c r="R2129" s="41">
        <v>58</v>
      </c>
      <c r="S2129" t="s">
        <v>4325</v>
      </c>
      <c r="AH2129" t="s">
        <v>359</v>
      </c>
    </row>
    <row r="2130" spans="1:34" ht="15.75">
      <c r="A2130" s="29">
        <f t="shared" si="33"/>
        <v>72298.8</v>
      </c>
      <c r="B2130" s="2">
        <v>440</v>
      </c>
      <c r="C2130" s="2">
        <v>8</v>
      </c>
      <c r="D2130" s="2">
        <v>1817</v>
      </c>
      <c r="E2130">
        <v>8141</v>
      </c>
      <c r="H2130" t="s">
        <v>1540</v>
      </c>
      <c r="I2130" s="2">
        <v>3078</v>
      </c>
      <c r="J2130" s="2">
        <f>8688+1800</f>
        <v>10488</v>
      </c>
      <c r="K2130" s="2" t="s">
        <v>864</v>
      </c>
      <c r="L2130" s="43" t="s">
        <v>4547</v>
      </c>
      <c r="M2130" s="41" t="s">
        <v>4548</v>
      </c>
      <c r="O2130" s="41" t="s">
        <v>4549</v>
      </c>
      <c r="P2130" s="41">
        <v>18</v>
      </c>
      <c r="Q2130" s="41">
        <v>9</v>
      </c>
      <c r="R2130" s="41">
        <v>19</v>
      </c>
      <c r="S2130" t="s">
        <v>3343</v>
      </c>
      <c r="T2130" t="s">
        <v>4550</v>
      </c>
      <c r="V2130" t="s">
        <v>1552</v>
      </c>
      <c r="X2130">
        <v>0.33</v>
      </c>
      <c r="Y2130" t="s">
        <v>4523</v>
      </c>
      <c r="AH2130" t="s">
        <v>359</v>
      </c>
    </row>
    <row r="2131" spans="1:34" ht="15.75">
      <c r="A2131" s="29">
        <f t="shared" si="33"/>
        <v>980</v>
      </c>
      <c r="B2131" s="2">
        <v>440</v>
      </c>
      <c r="C2131" s="2">
        <v>8</v>
      </c>
      <c r="D2131" s="2">
        <v>1817</v>
      </c>
      <c r="E2131">
        <v>8142</v>
      </c>
      <c r="H2131" t="s">
        <v>1540</v>
      </c>
      <c r="I2131" s="2">
        <v>980</v>
      </c>
      <c r="J2131" s="2">
        <v>0</v>
      </c>
      <c r="K2131" s="2" t="s">
        <v>864</v>
      </c>
      <c r="L2131" s="43" t="s">
        <v>5086</v>
      </c>
      <c r="P2131" s="41">
        <v>4</v>
      </c>
      <c r="Q2131" s="41">
        <v>3</v>
      </c>
      <c r="R2131" s="41">
        <v>77</v>
      </c>
      <c r="S2131" t="s">
        <v>3321</v>
      </c>
      <c r="AH2131" t="s">
        <v>359</v>
      </c>
    </row>
    <row r="2132" spans="1:34" ht="15.75">
      <c r="A2132" s="29">
        <f t="shared" si="33"/>
        <v>82</v>
      </c>
      <c r="B2132" s="2">
        <v>440</v>
      </c>
      <c r="C2132" s="2">
        <v>8</v>
      </c>
      <c r="D2132" s="2">
        <v>1817</v>
      </c>
      <c r="E2132">
        <v>8143</v>
      </c>
      <c r="H2132" t="s">
        <v>1541</v>
      </c>
      <c r="I2132" s="2">
        <v>82</v>
      </c>
      <c r="J2132" s="2">
        <v>0</v>
      </c>
      <c r="K2132" s="2" t="s">
        <v>864</v>
      </c>
      <c r="L2132" s="43" t="s">
        <v>5086</v>
      </c>
      <c r="P2132" s="41">
        <v>3</v>
      </c>
      <c r="Q2132" s="41">
        <v>4</v>
      </c>
      <c r="R2132" s="41">
        <v>62</v>
      </c>
      <c r="S2132" t="s">
        <v>3329</v>
      </c>
      <c r="AH2132" t="s">
        <v>359</v>
      </c>
    </row>
    <row r="2133" spans="1:34" ht="15.75">
      <c r="A2133" s="29">
        <f t="shared" si="33"/>
        <v>187948</v>
      </c>
      <c r="B2133" s="2">
        <v>440</v>
      </c>
      <c r="C2133" s="2">
        <v>8</v>
      </c>
      <c r="D2133" s="2">
        <v>1817</v>
      </c>
      <c r="E2133">
        <v>8144</v>
      </c>
      <c r="H2133" t="s">
        <v>1541</v>
      </c>
      <c r="I2133" s="2">
        <v>15948</v>
      </c>
      <c r="J2133" s="2">
        <f>300+2000+6300</f>
        <v>8600</v>
      </c>
      <c r="K2133" s="2" t="s">
        <v>864</v>
      </c>
      <c r="L2133" s="43" t="s">
        <v>4551</v>
      </c>
      <c r="M2133" s="41" t="s">
        <v>4552</v>
      </c>
      <c r="N2133" s="41" t="s">
        <v>1555</v>
      </c>
      <c r="O2133" s="41" t="s">
        <v>4553</v>
      </c>
      <c r="P2133" s="41">
        <v>29</v>
      </c>
      <c r="Q2133" s="41">
        <v>5</v>
      </c>
      <c r="R2133" s="41">
        <v>62</v>
      </c>
      <c r="S2133" t="s">
        <v>4554</v>
      </c>
      <c r="T2133" t="s">
        <v>3439</v>
      </c>
      <c r="V2133" t="s">
        <v>1671</v>
      </c>
      <c r="X2133">
        <v>1</v>
      </c>
      <c r="Y2133" t="s">
        <v>4555</v>
      </c>
      <c r="AH2133" t="s">
        <v>359</v>
      </c>
    </row>
    <row r="2134" spans="1:34" ht="15.75">
      <c r="A2134" s="29">
        <f t="shared" si="33"/>
        <v>1810</v>
      </c>
      <c r="B2134" s="2">
        <v>440</v>
      </c>
      <c r="C2134" s="2">
        <v>8</v>
      </c>
      <c r="D2134" s="2">
        <v>1817</v>
      </c>
      <c r="E2134">
        <v>8145</v>
      </c>
      <c r="H2134" t="s">
        <v>1540</v>
      </c>
      <c r="I2134" s="2">
        <v>1810</v>
      </c>
      <c r="J2134" s="2">
        <v>0</v>
      </c>
      <c r="K2134" s="2" t="s">
        <v>864</v>
      </c>
      <c r="L2134" s="43" t="s">
        <v>4556</v>
      </c>
      <c r="P2134" s="41">
        <v>1</v>
      </c>
      <c r="Q2134" s="41">
        <v>6</v>
      </c>
      <c r="R2134" s="41">
        <v>92</v>
      </c>
      <c r="S2134" t="s">
        <v>3321</v>
      </c>
      <c r="AH2134" t="s">
        <v>359</v>
      </c>
    </row>
    <row r="2135" spans="1:34" ht="15.75">
      <c r="A2135" s="29">
        <f t="shared" si="33"/>
        <v>221</v>
      </c>
      <c r="B2135" s="2">
        <v>440</v>
      </c>
      <c r="C2135" s="2">
        <v>8</v>
      </c>
      <c r="D2135" s="2">
        <v>1817</v>
      </c>
      <c r="E2135">
        <v>8146</v>
      </c>
      <c r="H2135" t="s">
        <v>1540</v>
      </c>
      <c r="I2135" s="2">
        <v>221</v>
      </c>
      <c r="J2135" s="2">
        <v>0</v>
      </c>
      <c r="K2135" s="2" t="s">
        <v>864</v>
      </c>
      <c r="L2135" s="43" t="s">
        <v>3661</v>
      </c>
      <c r="P2135" s="41">
        <v>25</v>
      </c>
      <c r="Q2135" s="41">
        <v>2</v>
      </c>
      <c r="R2135" s="41">
        <v>77</v>
      </c>
      <c r="S2135" t="s">
        <v>3324</v>
      </c>
      <c r="AH2135" t="s">
        <v>359</v>
      </c>
    </row>
    <row r="2136" spans="1:34" ht="15.75">
      <c r="A2136" s="29">
        <f t="shared" si="33"/>
        <v>30083</v>
      </c>
      <c r="B2136" s="2">
        <v>440</v>
      </c>
      <c r="C2136" s="2">
        <v>8</v>
      </c>
      <c r="D2136" s="2">
        <v>1817</v>
      </c>
      <c r="E2136">
        <v>8147</v>
      </c>
      <c r="H2136" t="s">
        <v>1540</v>
      </c>
      <c r="I2136" s="2">
        <v>30083</v>
      </c>
      <c r="J2136" s="2">
        <v>0</v>
      </c>
      <c r="K2136" s="2" t="s">
        <v>864</v>
      </c>
      <c r="L2136" s="43" t="s">
        <v>4557</v>
      </c>
      <c r="M2136" s="41" t="s">
        <v>4558</v>
      </c>
      <c r="N2136" s="41" t="s">
        <v>4559</v>
      </c>
      <c r="O2136" s="41" t="s">
        <v>4560</v>
      </c>
      <c r="P2136" s="41">
        <v>5</v>
      </c>
      <c r="Q2136" s="41">
        <v>2</v>
      </c>
      <c r="R2136" s="41">
        <v>62</v>
      </c>
      <c r="S2136" t="s">
        <v>3343</v>
      </c>
      <c r="T2136" t="s">
        <v>5857</v>
      </c>
      <c r="V2136" t="s">
        <v>4561</v>
      </c>
      <c r="AH2136" t="s">
        <v>359</v>
      </c>
    </row>
    <row r="2137" spans="1:34" ht="15.75">
      <c r="A2137" s="29">
        <f t="shared" si="33"/>
        <v>166</v>
      </c>
      <c r="B2137" s="2">
        <v>441</v>
      </c>
      <c r="C2137" s="2">
        <v>8</v>
      </c>
      <c r="D2137" s="2">
        <v>1817</v>
      </c>
      <c r="E2137">
        <v>8175</v>
      </c>
      <c r="H2137" s="2" t="s">
        <v>1541</v>
      </c>
      <c r="I2137" s="2">
        <v>166</v>
      </c>
      <c r="J2137" s="2">
        <v>0</v>
      </c>
      <c r="K2137" s="2" t="s">
        <v>864</v>
      </c>
      <c r="L2137" s="43" t="s">
        <v>4696</v>
      </c>
      <c r="P2137" s="41">
        <v>19</v>
      </c>
      <c r="Q2137" s="41">
        <v>10</v>
      </c>
      <c r="R2137" s="41">
        <v>73</v>
      </c>
      <c r="S2137" s="23" t="s">
        <v>3343</v>
      </c>
      <c r="U2137" s="2"/>
      <c r="V2137" s="2"/>
      <c r="W2137" s="2"/>
      <c r="X2137" s="2"/>
      <c r="Z2137" s="2"/>
      <c r="AA2137" s="2"/>
      <c r="AB2137" s="2"/>
      <c r="AC2137" s="2"/>
      <c r="AH2137" t="s">
        <v>359</v>
      </c>
    </row>
    <row r="2138" spans="1:34" ht="15.75">
      <c r="A2138" s="29">
        <f t="shared" si="33"/>
        <v>174</v>
      </c>
      <c r="B2138" s="2">
        <v>441</v>
      </c>
      <c r="C2138" s="2">
        <v>8</v>
      </c>
      <c r="D2138" s="2">
        <v>1817</v>
      </c>
      <c r="E2138">
        <v>8176</v>
      </c>
      <c r="H2138" s="2" t="s">
        <v>1549</v>
      </c>
      <c r="I2138" s="2">
        <v>174</v>
      </c>
      <c r="J2138" s="2">
        <v>0</v>
      </c>
      <c r="K2138" s="2" t="s">
        <v>864</v>
      </c>
      <c r="L2138" s="43" t="s">
        <v>5729</v>
      </c>
      <c r="P2138" s="41">
        <v>15</v>
      </c>
      <c r="Q2138" s="41">
        <v>3</v>
      </c>
      <c r="R2138" s="41">
        <v>61</v>
      </c>
      <c r="S2138" t="s">
        <v>3321</v>
      </c>
      <c r="U2138" s="2"/>
      <c r="V2138" s="3"/>
      <c r="W2138" s="3"/>
      <c r="X2138" s="2"/>
      <c r="Z2138" s="2"/>
      <c r="AA2138" s="2"/>
      <c r="AB2138" s="2"/>
      <c r="AC2138" s="2"/>
      <c r="AH2138" t="s">
        <v>359</v>
      </c>
    </row>
    <row r="2139" spans="1:34" ht="15.75">
      <c r="A2139" s="29">
        <f t="shared" si="33"/>
        <v>34</v>
      </c>
      <c r="B2139" s="2">
        <v>441</v>
      </c>
      <c r="C2139" s="2">
        <v>8</v>
      </c>
      <c r="D2139" s="2">
        <v>1817</v>
      </c>
      <c r="E2139">
        <v>8177</v>
      </c>
      <c r="H2139" s="2" t="s">
        <v>1541</v>
      </c>
      <c r="I2139" s="2">
        <v>34</v>
      </c>
      <c r="J2139" s="2">
        <v>0</v>
      </c>
      <c r="K2139" s="2" t="s">
        <v>864</v>
      </c>
      <c r="L2139" s="43" t="s">
        <v>5729</v>
      </c>
      <c r="P2139" s="41">
        <v>26</v>
      </c>
      <c r="Q2139" s="41">
        <v>6</v>
      </c>
      <c r="R2139" s="41">
        <v>19</v>
      </c>
      <c r="S2139" t="s">
        <v>3343</v>
      </c>
      <c r="U2139" s="3"/>
      <c r="V2139" s="3"/>
      <c r="W2139" s="3"/>
      <c r="X2139" s="3"/>
      <c r="Z2139" s="2"/>
      <c r="AA2139" s="3"/>
      <c r="AB2139" s="3"/>
      <c r="AC2139" s="2"/>
      <c r="AH2139" t="s">
        <v>359</v>
      </c>
    </row>
    <row r="2140" spans="1:34" ht="15.75">
      <c r="A2140" s="29">
        <f t="shared" si="33"/>
        <v>30</v>
      </c>
      <c r="B2140" s="2">
        <v>441</v>
      </c>
      <c r="C2140" s="2">
        <v>8</v>
      </c>
      <c r="D2140" s="2">
        <v>1817</v>
      </c>
      <c r="E2140">
        <v>8178</v>
      </c>
      <c r="H2140" s="2" t="s">
        <v>1541</v>
      </c>
      <c r="I2140" s="2">
        <v>30</v>
      </c>
      <c r="J2140" s="2">
        <v>0</v>
      </c>
      <c r="K2140" s="2" t="s">
        <v>864</v>
      </c>
      <c r="L2140" s="43" t="s">
        <v>3646</v>
      </c>
      <c r="P2140" s="41">
        <v>24</v>
      </c>
      <c r="Q2140" s="41">
        <v>11</v>
      </c>
      <c r="R2140" s="41">
        <v>55</v>
      </c>
      <c r="S2140" s="23" t="s">
        <v>3329</v>
      </c>
      <c r="U2140" s="2"/>
      <c r="V2140" s="3"/>
      <c r="W2140" s="3"/>
      <c r="X2140" s="2"/>
      <c r="Z2140" s="2"/>
      <c r="AA2140" s="3"/>
      <c r="AB2140" s="3"/>
      <c r="AC2140" s="2"/>
      <c r="AH2140" t="s">
        <v>359</v>
      </c>
    </row>
    <row r="2141" spans="1:34" ht="15.75">
      <c r="A2141" s="29">
        <f t="shared" si="33"/>
        <v>7962</v>
      </c>
      <c r="B2141" s="2">
        <v>441</v>
      </c>
      <c r="C2141" s="2">
        <v>8</v>
      </c>
      <c r="D2141" s="2">
        <v>1817</v>
      </c>
      <c r="E2141">
        <v>8179</v>
      </c>
      <c r="H2141" s="2" t="s">
        <v>1549</v>
      </c>
      <c r="I2141" s="2">
        <v>7962</v>
      </c>
      <c r="J2141" s="2">
        <v>0</v>
      </c>
      <c r="K2141" s="2" t="s">
        <v>864</v>
      </c>
      <c r="L2141" s="43" t="s">
        <v>5732</v>
      </c>
      <c r="P2141" s="41">
        <v>1</v>
      </c>
      <c r="Q2141" s="41">
        <v>11</v>
      </c>
      <c r="R2141" s="41">
        <v>57</v>
      </c>
      <c r="S2141" t="s">
        <v>3321</v>
      </c>
      <c r="U2141" s="2"/>
      <c r="V2141" s="24"/>
      <c r="W2141" s="24"/>
      <c r="X2141" s="2"/>
      <c r="Z2141" s="2"/>
      <c r="AA2141" s="2"/>
      <c r="AB2141" s="2"/>
      <c r="AC2141" s="2"/>
      <c r="AH2141" t="s">
        <v>359</v>
      </c>
    </row>
    <row r="2142" spans="1:34" ht="15.75">
      <c r="A2142" s="29">
        <f t="shared" si="33"/>
        <v>1307</v>
      </c>
      <c r="B2142" s="2">
        <v>441</v>
      </c>
      <c r="C2142" s="2">
        <v>8</v>
      </c>
      <c r="D2142" s="2">
        <v>1817</v>
      </c>
      <c r="E2142">
        <v>8181</v>
      </c>
      <c r="H2142" s="2" t="s">
        <v>1549</v>
      </c>
      <c r="I2142" s="2">
        <v>1307</v>
      </c>
      <c r="J2142" s="2">
        <v>0</v>
      </c>
      <c r="K2142" s="2" t="s">
        <v>864</v>
      </c>
      <c r="L2142" s="43" t="s">
        <v>3651</v>
      </c>
      <c r="P2142" s="41">
        <v>4</v>
      </c>
      <c r="Q2142" s="41">
        <v>3</v>
      </c>
      <c r="R2142" s="41">
        <v>55</v>
      </c>
      <c r="S2142" s="2" t="s">
        <v>3343</v>
      </c>
      <c r="U2142" s="2"/>
      <c r="V2142" s="2"/>
      <c r="W2142" s="2"/>
      <c r="X2142" s="2"/>
      <c r="Y2142" s="2"/>
      <c r="Z2142" s="2"/>
      <c r="AA2142" s="2"/>
      <c r="AB2142" s="2"/>
      <c r="AH2142" t="s">
        <v>359</v>
      </c>
    </row>
    <row r="2143" spans="1:34" ht="15.75">
      <c r="A2143" s="29">
        <f t="shared" si="33"/>
        <v>1564</v>
      </c>
      <c r="B2143" s="2">
        <v>441</v>
      </c>
      <c r="C2143" s="2">
        <v>8</v>
      </c>
      <c r="D2143" s="2">
        <v>1817</v>
      </c>
      <c r="E2143">
        <v>8182</v>
      </c>
      <c r="H2143" s="2" t="s">
        <v>1549</v>
      </c>
      <c r="I2143" s="2">
        <v>1564</v>
      </c>
      <c r="J2143" s="2">
        <v>0</v>
      </c>
      <c r="K2143" s="2" t="s">
        <v>864</v>
      </c>
      <c r="L2143" s="43" t="s">
        <v>4568</v>
      </c>
      <c r="P2143" s="41">
        <v>9</v>
      </c>
      <c r="Q2143" s="41">
        <v>2</v>
      </c>
      <c r="R2143" s="41">
        <v>40</v>
      </c>
      <c r="S2143" t="s">
        <v>3321</v>
      </c>
      <c r="U2143" s="2"/>
      <c r="V2143" s="2"/>
      <c r="W2143" s="2"/>
      <c r="X2143" s="2"/>
      <c r="Y2143" s="2"/>
      <c r="Z2143" s="2"/>
      <c r="AA2143" s="2"/>
      <c r="AB2143" s="2"/>
      <c r="AH2143" t="s">
        <v>359</v>
      </c>
    </row>
    <row r="2144" spans="1:34" ht="15.75">
      <c r="A2144" s="29">
        <f t="shared" si="33"/>
        <v>5604</v>
      </c>
      <c r="B2144" s="2">
        <v>441</v>
      </c>
      <c r="C2144" s="2">
        <v>8</v>
      </c>
      <c r="D2144" s="2">
        <v>1817</v>
      </c>
      <c r="E2144">
        <v>8184</v>
      </c>
      <c r="H2144" s="2" t="s">
        <v>1541</v>
      </c>
      <c r="I2144" s="2">
        <v>5604</v>
      </c>
      <c r="J2144" s="2">
        <v>0</v>
      </c>
      <c r="K2144" s="2" t="s">
        <v>864</v>
      </c>
      <c r="L2144" s="43" t="s">
        <v>4568</v>
      </c>
      <c r="P2144" s="41">
        <v>11</v>
      </c>
      <c r="Q2144" s="41">
        <v>7</v>
      </c>
      <c r="R2144" s="41">
        <v>68</v>
      </c>
      <c r="S2144" s="23" t="s">
        <v>3329</v>
      </c>
      <c r="U2144" s="2"/>
      <c r="V2144" s="2"/>
      <c r="W2144" s="2"/>
      <c r="X2144" s="2"/>
      <c r="Z2144" s="2"/>
      <c r="AA2144" s="2"/>
      <c r="AB2144" s="2"/>
      <c r="AC2144" s="2"/>
      <c r="AH2144" t="s">
        <v>359</v>
      </c>
    </row>
    <row r="2145" spans="1:34" ht="15.75">
      <c r="A2145" s="29">
        <f t="shared" si="33"/>
        <v>500</v>
      </c>
      <c r="B2145" s="2">
        <v>441</v>
      </c>
      <c r="C2145" s="2">
        <v>8</v>
      </c>
      <c r="D2145" s="2">
        <v>1817</v>
      </c>
      <c r="E2145">
        <v>8185</v>
      </c>
      <c r="H2145" s="2" t="s">
        <v>1549</v>
      </c>
      <c r="I2145" s="2">
        <v>500</v>
      </c>
      <c r="J2145" s="2">
        <v>0</v>
      </c>
      <c r="K2145" s="2" t="s">
        <v>864</v>
      </c>
      <c r="L2145" s="43" t="s">
        <v>4568</v>
      </c>
      <c r="P2145" s="41">
        <v>6</v>
      </c>
      <c r="Q2145" s="41">
        <v>8</v>
      </c>
      <c r="R2145" s="41">
        <v>3</v>
      </c>
      <c r="S2145" s="23" t="s">
        <v>3343</v>
      </c>
      <c r="U2145" s="2"/>
      <c r="V2145" s="2"/>
      <c r="W2145" s="2"/>
      <c r="X2145" s="2"/>
      <c r="Z2145" s="2"/>
      <c r="AA2145" s="2"/>
      <c r="AB2145" s="2"/>
      <c r="AC2145" s="2"/>
      <c r="AH2145" t="s">
        <v>359</v>
      </c>
    </row>
    <row r="2146" spans="1:34" ht="15.75">
      <c r="A2146" s="29">
        <f t="shared" si="33"/>
        <v>139056</v>
      </c>
      <c r="B2146" s="2">
        <v>441</v>
      </c>
      <c r="C2146" s="2">
        <v>8</v>
      </c>
      <c r="D2146" s="2">
        <v>1817</v>
      </c>
      <c r="E2146">
        <v>8186</v>
      </c>
      <c r="H2146" s="2" t="s">
        <v>1549</v>
      </c>
      <c r="I2146" s="2">
        <f>127776+11280</f>
        <v>139056</v>
      </c>
      <c r="J2146" s="2">
        <v>0</v>
      </c>
      <c r="K2146" s="2" t="s">
        <v>864</v>
      </c>
      <c r="L2146" s="43" t="s">
        <v>5837</v>
      </c>
      <c r="M2146" s="41" t="s">
        <v>4574</v>
      </c>
      <c r="N2146" s="41" t="s">
        <v>1545</v>
      </c>
      <c r="O2146" s="41" t="s">
        <v>4575</v>
      </c>
      <c r="P2146" s="41">
        <v>28</v>
      </c>
      <c r="Q2146" s="41">
        <v>12</v>
      </c>
      <c r="R2146" s="41">
        <v>75</v>
      </c>
      <c r="S2146" s="23" t="s">
        <v>4576</v>
      </c>
      <c r="T2146" s="2" t="s">
        <v>4577</v>
      </c>
      <c r="V2146" s="2" t="s">
        <v>1548</v>
      </c>
      <c r="W2146" s="2"/>
      <c r="X2146" s="2"/>
      <c r="Z2146" s="2"/>
      <c r="AA2146" s="2"/>
      <c r="AB2146" s="2"/>
      <c r="AC2146" s="2"/>
      <c r="AH2146" t="s">
        <v>359</v>
      </c>
    </row>
    <row r="2147" spans="1:34" ht="15.75">
      <c r="A2147" s="29">
        <f t="shared" si="33"/>
        <v>2003</v>
      </c>
      <c r="B2147" s="2">
        <v>441</v>
      </c>
      <c r="C2147" s="2">
        <v>8</v>
      </c>
      <c r="D2147" s="2">
        <v>1817</v>
      </c>
      <c r="E2147">
        <v>8187</v>
      </c>
      <c r="H2147" s="2" t="s">
        <v>1541</v>
      </c>
      <c r="I2147" s="2">
        <v>2003</v>
      </c>
      <c r="J2147" s="2">
        <v>0</v>
      </c>
      <c r="K2147" s="2" t="s">
        <v>864</v>
      </c>
      <c r="L2147" s="43" t="s">
        <v>577</v>
      </c>
      <c r="P2147" s="41">
        <v>8</v>
      </c>
      <c r="Q2147" s="41">
        <v>4</v>
      </c>
      <c r="R2147" s="41">
        <v>56</v>
      </c>
      <c r="S2147" t="s">
        <v>3321</v>
      </c>
      <c r="U2147" s="2"/>
      <c r="V2147" s="2"/>
      <c r="W2147" s="2"/>
      <c r="X2147" s="2"/>
      <c r="Z2147" s="2"/>
      <c r="AA2147" s="2"/>
      <c r="AB2147" s="2"/>
      <c r="AC2147" s="2"/>
      <c r="AH2147" t="s">
        <v>359</v>
      </c>
    </row>
    <row r="2148" spans="1:34" ht="15.75">
      <c r="A2148" s="39">
        <f t="shared" si="33"/>
        <v>442</v>
      </c>
      <c r="B2148" s="2">
        <v>441</v>
      </c>
      <c r="C2148" s="2">
        <v>8</v>
      </c>
      <c r="D2148" s="2">
        <v>1817</v>
      </c>
      <c r="E2148">
        <v>8188</v>
      </c>
      <c r="H2148" s="2" t="s">
        <v>1549</v>
      </c>
      <c r="I2148" s="2">
        <v>442</v>
      </c>
      <c r="J2148" s="2">
        <v>0</v>
      </c>
      <c r="K2148" s="2" t="s">
        <v>864</v>
      </c>
      <c r="L2148" s="43" t="s">
        <v>4578</v>
      </c>
      <c r="P2148" s="41">
        <v>19</v>
      </c>
      <c r="Q2148" s="41">
        <v>12</v>
      </c>
      <c r="R2148" s="41">
        <v>45</v>
      </c>
      <c r="S2148" s="23" t="s">
        <v>3324</v>
      </c>
      <c r="U2148" s="2"/>
      <c r="V2148" s="2"/>
      <c r="W2148" s="2"/>
      <c r="X2148" s="2"/>
      <c r="Z2148" s="2"/>
      <c r="AA2148" s="2"/>
      <c r="AB2148" s="2"/>
      <c r="AC2148" s="2"/>
      <c r="AH2148" t="s">
        <v>359</v>
      </c>
    </row>
    <row r="2149" spans="1:34" ht="15.75">
      <c r="A2149" s="29">
        <f t="shared" si="33"/>
        <v>157</v>
      </c>
      <c r="B2149" s="2">
        <v>441</v>
      </c>
      <c r="C2149" s="2">
        <v>8</v>
      </c>
      <c r="D2149" s="2">
        <v>1817</v>
      </c>
      <c r="E2149">
        <v>8190</v>
      </c>
      <c r="H2149" s="2" t="s">
        <v>1541</v>
      </c>
      <c r="I2149" s="2">
        <v>157</v>
      </c>
      <c r="J2149" s="2">
        <v>0</v>
      </c>
      <c r="K2149" s="2" t="s">
        <v>864</v>
      </c>
      <c r="L2149" s="43" t="s">
        <v>3676</v>
      </c>
      <c r="P2149" s="41">
        <v>25</v>
      </c>
      <c r="Q2149" s="41">
        <v>7</v>
      </c>
      <c r="R2149" s="41">
        <v>73</v>
      </c>
      <c r="S2149" s="23" t="s">
        <v>3343</v>
      </c>
      <c r="U2149" s="2"/>
      <c r="V2149" s="2"/>
      <c r="W2149" s="2"/>
      <c r="X2149" s="2"/>
      <c r="Y2149" s="2"/>
      <c r="Z2149" s="2"/>
      <c r="AA2149" s="2"/>
      <c r="AB2149" s="2"/>
      <c r="AH2149" t="s">
        <v>359</v>
      </c>
    </row>
    <row r="2150" spans="1:34" ht="15.75">
      <c r="A2150" s="29">
        <f t="shared" si="33"/>
        <v>4531</v>
      </c>
      <c r="B2150" s="2">
        <v>442</v>
      </c>
      <c r="C2150" s="2">
        <v>8</v>
      </c>
      <c r="D2150" s="2">
        <v>1817</v>
      </c>
      <c r="E2150">
        <v>8193</v>
      </c>
      <c r="H2150" t="s">
        <v>1541</v>
      </c>
      <c r="I2150" s="2">
        <f>53+2478+2000</f>
        <v>4531</v>
      </c>
      <c r="J2150" s="2">
        <v>0</v>
      </c>
      <c r="K2150" s="2" t="s">
        <v>864</v>
      </c>
      <c r="L2150" s="43" t="s">
        <v>3643</v>
      </c>
      <c r="P2150" s="41">
        <v>23</v>
      </c>
      <c r="Q2150" s="41">
        <v>7</v>
      </c>
      <c r="R2150" s="41">
        <v>25</v>
      </c>
      <c r="S2150" t="s">
        <v>3321</v>
      </c>
      <c r="AH2150" t="s">
        <v>359</v>
      </c>
    </row>
    <row r="2151" spans="1:34" ht="15.75">
      <c r="A2151" s="29">
        <f t="shared" si="33"/>
        <v>80</v>
      </c>
      <c r="B2151" s="2">
        <v>442</v>
      </c>
      <c r="C2151" s="2">
        <v>8</v>
      </c>
      <c r="D2151" s="2">
        <v>1817</v>
      </c>
      <c r="E2151">
        <v>8194</v>
      </c>
      <c r="H2151" t="s">
        <v>1540</v>
      </c>
      <c r="I2151" s="2">
        <v>80</v>
      </c>
      <c r="J2151" s="2">
        <v>0</v>
      </c>
      <c r="K2151" s="2" t="s">
        <v>864</v>
      </c>
      <c r="L2151" s="43" t="s">
        <v>5737</v>
      </c>
      <c r="P2151" s="41">
        <v>17</v>
      </c>
      <c r="Q2151" s="41">
        <v>1</v>
      </c>
      <c r="R2151" s="41" t="s">
        <v>1547</v>
      </c>
      <c r="S2151" t="s">
        <v>4325</v>
      </c>
      <c r="AH2151" t="s">
        <v>359</v>
      </c>
    </row>
    <row r="2152" spans="1:34" ht="15.75">
      <c r="A2152" s="29">
        <f t="shared" si="33"/>
        <v>7657</v>
      </c>
      <c r="B2152" s="2">
        <v>442</v>
      </c>
      <c r="C2152" s="2">
        <v>8</v>
      </c>
      <c r="D2152" s="2">
        <v>1817</v>
      </c>
      <c r="E2152">
        <v>8195</v>
      </c>
      <c r="H2152" t="s">
        <v>1540</v>
      </c>
      <c r="I2152" s="2">
        <f>2275+5382</f>
        <v>7657</v>
      </c>
      <c r="J2152" s="2">
        <v>0</v>
      </c>
      <c r="K2152" s="2" t="s">
        <v>864</v>
      </c>
      <c r="L2152" s="43" t="s">
        <v>3648</v>
      </c>
      <c r="P2152" s="41" t="s">
        <v>868</v>
      </c>
      <c r="Q2152" s="41" t="s">
        <v>868</v>
      </c>
      <c r="R2152" s="41" t="s">
        <v>1547</v>
      </c>
      <c r="S2152" t="s">
        <v>3321</v>
      </c>
      <c r="AH2152" t="s">
        <v>359</v>
      </c>
    </row>
    <row r="2153" spans="1:34" ht="15.75">
      <c r="A2153" s="29">
        <f t="shared" si="33"/>
        <v>17100</v>
      </c>
      <c r="B2153" s="8">
        <v>442</v>
      </c>
      <c r="C2153" s="2">
        <v>8</v>
      </c>
      <c r="D2153" s="2">
        <v>1817</v>
      </c>
      <c r="E2153">
        <v>8196</v>
      </c>
      <c r="F2153" s="9"/>
      <c r="G2153" s="9"/>
      <c r="H2153" s="9" t="s">
        <v>1541</v>
      </c>
      <c r="I2153" s="8">
        <v>17100</v>
      </c>
      <c r="J2153" s="8">
        <v>0</v>
      </c>
      <c r="K2153" s="2" t="s">
        <v>864</v>
      </c>
      <c r="L2153" s="43" t="s">
        <v>5903</v>
      </c>
      <c r="M2153" s="41" t="s">
        <v>4585</v>
      </c>
      <c r="O2153" s="41" t="s">
        <v>4586</v>
      </c>
      <c r="P2153" s="41">
        <v>23</v>
      </c>
      <c r="Q2153" s="41">
        <v>7</v>
      </c>
      <c r="R2153" s="41">
        <v>26</v>
      </c>
      <c r="S2153" t="s">
        <v>4587</v>
      </c>
      <c r="T2153" t="s">
        <v>4588</v>
      </c>
      <c r="V2153" t="s">
        <v>4589</v>
      </c>
      <c r="AA2153" t="s">
        <v>4589</v>
      </c>
      <c r="AH2153" t="s">
        <v>359</v>
      </c>
    </row>
    <row r="2154" spans="1:34" ht="15.75">
      <c r="A2154" s="29">
        <f t="shared" si="33"/>
        <v>465</v>
      </c>
      <c r="B2154" s="2">
        <v>442</v>
      </c>
      <c r="C2154" s="2">
        <v>8</v>
      </c>
      <c r="D2154" s="2">
        <v>1817</v>
      </c>
      <c r="E2154">
        <v>8197</v>
      </c>
      <c r="H2154" t="s">
        <v>1540</v>
      </c>
      <c r="I2154" s="2">
        <v>465</v>
      </c>
      <c r="J2154" s="2">
        <v>0</v>
      </c>
      <c r="K2154" s="2" t="s">
        <v>864</v>
      </c>
      <c r="L2154" s="43" t="s">
        <v>4590</v>
      </c>
      <c r="P2154" s="41">
        <v>3</v>
      </c>
      <c r="Q2154" s="41">
        <v>3</v>
      </c>
      <c r="R2154" s="41" t="s">
        <v>1547</v>
      </c>
      <c r="S2154" t="s">
        <v>3321</v>
      </c>
      <c r="AH2154" t="s">
        <v>359</v>
      </c>
    </row>
    <row r="2155" spans="1:34" ht="15.75">
      <c r="A2155" s="29">
        <f t="shared" si="33"/>
        <v>2702</v>
      </c>
      <c r="B2155" s="2">
        <v>442</v>
      </c>
      <c r="C2155" s="2">
        <v>8</v>
      </c>
      <c r="D2155" s="2">
        <v>1817</v>
      </c>
      <c r="E2155">
        <v>8198</v>
      </c>
      <c r="H2155" t="s">
        <v>1541</v>
      </c>
      <c r="I2155" s="2">
        <v>2702</v>
      </c>
      <c r="J2155" s="2">
        <v>0</v>
      </c>
      <c r="K2155" s="2" t="s">
        <v>864</v>
      </c>
      <c r="L2155" s="43" t="s">
        <v>3665</v>
      </c>
      <c r="P2155" s="41">
        <v>19</v>
      </c>
      <c r="Q2155" s="41">
        <v>5</v>
      </c>
      <c r="R2155" s="41">
        <v>37</v>
      </c>
      <c r="S2155" t="s">
        <v>3321</v>
      </c>
      <c r="AH2155" t="s">
        <v>359</v>
      </c>
    </row>
    <row r="2156" spans="1:34" ht="15.75">
      <c r="A2156" s="29">
        <f t="shared" si="33"/>
        <v>816</v>
      </c>
      <c r="B2156" s="2">
        <v>442</v>
      </c>
      <c r="C2156" s="2">
        <v>8</v>
      </c>
      <c r="D2156" s="2">
        <v>1817</v>
      </c>
      <c r="E2156">
        <v>8199</v>
      </c>
      <c r="H2156" t="s">
        <v>1541</v>
      </c>
      <c r="I2156" s="2">
        <v>816</v>
      </c>
      <c r="J2156" s="2">
        <v>0</v>
      </c>
      <c r="K2156" s="2" t="s">
        <v>864</v>
      </c>
      <c r="L2156" s="43" t="s">
        <v>3673</v>
      </c>
      <c r="P2156" s="41">
        <v>26</v>
      </c>
      <c r="Q2156" s="41">
        <v>10</v>
      </c>
      <c r="R2156" s="41">
        <v>76</v>
      </c>
      <c r="S2156" t="s">
        <v>3321</v>
      </c>
      <c r="AH2156" t="s">
        <v>359</v>
      </c>
    </row>
    <row r="2157" spans="1:34" ht="15.75">
      <c r="A2157" s="29">
        <f t="shared" si="33"/>
        <v>46</v>
      </c>
      <c r="B2157" s="2">
        <v>442</v>
      </c>
      <c r="C2157" s="2">
        <v>8</v>
      </c>
      <c r="D2157" s="2">
        <v>1817</v>
      </c>
      <c r="E2157">
        <v>8200</v>
      </c>
      <c r="H2157" t="s">
        <v>1541</v>
      </c>
      <c r="I2157" s="2">
        <v>46</v>
      </c>
      <c r="J2157" s="2">
        <v>0</v>
      </c>
      <c r="K2157" s="2" t="s">
        <v>864</v>
      </c>
      <c r="L2157" s="43" t="s">
        <v>5741</v>
      </c>
      <c r="P2157" s="41">
        <v>23</v>
      </c>
      <c r="Q2157" s="41">
        <v>3</v>
      </c>
      <c r="R2157" s="41">
        <v>52</v>
      </c>
      <c r="S2157" t="s">
        <v>3329</v>
      </c>
      <c r="AH2157" t="s">
        <v>359</v>
      </c>
    </row>
    <row r="2158" spans="1:34" ht="15.75">
      <c r="A2158" s="29">
        <f t="shared" si="33"/>
        <v>1872</v>
      </c>
      <c r="B2158" s="2">
        <v>442</v>
      </c>
      <c r="C2158" s="2">
        <v>8</v>
      </c>
      <c r="D2158" s="2">
        <v>1817</v>
      </c>
      <c r="E2158">
        <v>8201</v>
      </c>
      <c r="H2158" t="s">
        <v>1541</v>
      </c>
      <c r="I2158" s="2">
        <v>1872</v>
      </c>
      <c r="J2158" s="2">
        <v>0</v>
      </c>
      <c r="K2158" s="2" t="s">
        <v>864</v>
      </c>
      <c r="L2158" s="43" t="s">
        <v>5741</v>
      </c>
      <c r="P2158" s="41">
        <v>27</v>
      </c>
      <c r="Q2158" s="41">
        <v>5</v>
      </c>
      <c r="R2158" s="41">
        <v>46</v>
      </c>
      <c r="S2158" t="s">
        <v>3321</v>
      </c>
      <c r="AH2158" t="s">
        <v>359</v>
      </c>
    </row>
    <row r="2159" spans="1:34" ht="15.75">
      <c r="A2159" s="29">
        <f t="shared" si="33"/>
        <v>10747</v>
      </c>
      <c r="B2159" s="2">
        <v>443</v>
      </c>
      <c r="C2159" s="2">
        <v>8</v>
      </c>
      <c r="D2159" s="2">
        <v>1817</v>
      </c>
      <c r="E2159">
        <v>8229</v>
      </c>
      <c r="I2159" s="2">
        <v>10747</v>
      </c>
      <c r="J2159" s="2">
        <v>0</v>
      </c>
      <c r="K2159" s="2" t="s">
        <v>850</v>
      </c>
      <c r="L2159" s="43" t="s">
        <v>4591</v>
      </c>
      <c r="P2159" s="41">
        <v>21</v>
      </c>
      <c r="Q2159" s="41">
        <v>3</v>
      </c>
      <c r="R2159" s="41">
        <v>83</v>
      </c>
      <c r="S2159" t="s">
        <v>3352</v>
      </c>
      <c r="AH2159" t="s">
        <v>359</v>
      </c>
    </row>
    <row r="2160" spans="1:34" ht="15.75">
      <c r="A2160" s="29">
        <f t="shared" si="33"/>
        <v>80</v>
      </c>
      <c r="B2160" s="2">
        <v>443</v>
      </c>
      <c r="C2160" s="2">
        <v>8</v>
      </c>
      <c r="D2160" s="2">
        <v>1817</v>
      </c>
      <c r="E2160">
        <v>8230</v>
      </c>
      <c r="I2160" s="2">
        <v>80</v>
      </c>
      <c r="J2160" s="2">
        <v>0</v>
      </c>
      <c r="K2160" s="2" t="s">
        <v>850</v>
      </c>
      <c r="L2160" s="43" t="s">
        <v>2691</v>
      </c>
      <c r="P2160" s="41">
        <v>12</v>
      </c>
      <c r="Q2160" s="41">
        <v>9</v>
      </c>
      <c r="R2160" s="41">
        <v>77</v>
      </c>
      <c r="S2160" t="s">
        <v>3329</v>
      </c>
      <c r="AH2160" t="s">
        <v>359</v>
      </c>
    </row>
    <row r="2161" spans="1:34" ht="15.75">
      <c r="A2161" s="29">
        <f t="shared" si="33"/>
        <v>300</v>
      </c>
      <c r="B2161" s="2">
        <v>443</v>
      </c>
      <c r="C2161" s="2">
        <v>8</v>
      </c>
      <c r="D2161" s="2">
        <v>1817</v>
      </c>
      <c r="E2161">
        <v>8231</v>
      </c>
      <c r="I2161" s="2">
        <v>300</v>
      </c>
      <c r="J2161" s="2">
        <v>0</v>
      </c>
      <c r="K2161" s="2" t="s">
        <v>850</v>
      </c>
      <c r="L2161" s="43" t="s">
        <v>3680</v>
      </c>
      <c r="P2161" s="41">
        <v>10</v>
      </c>
      <c r="Q2161" s="41">
        <v>1</v>
      </c>
      <c r="R2161" s="41">
        <v>50</v>
      </c>
      <c r="S2161" t="s">
        <v>3321</v>
      </c>
      <c r="AH2161" t="s">
        <v>359</v>
      </c>
    </row>
    <row r="2162" spans="1:34" ht="15.75">
      <c r="A2162" s="29">
        <f t="shared" si="33"/>
        <v>191</v>
      </c>
      <c r="B2162" s="2">
        <v>443</v>
      </c>
      <c r="C2162" s="2">
        <v>8</v>
      </c>
      <c r="D2162" s="2">
        <v>1817</v>
      </c>
      <c r="E2162">
        <v>8232</v>
      </c>
      <c r="I2162" s="2">
        <v>191</v>
      </c>
      <c r="J2162" s="2">
        <v>0</v>
      </c>
      <c r="K2162" s="2" t="s">
        <v>850</v>
      </c>
      <c r="L2162" s="43" t="s">
        <v>2448</v>
      </c>
      <c r="P2162" s="41">
        <v>26</v>
      </c>
      <c r="Q2162" s="41">
        <v>7</v>
      </c>
      <c r="R2162" s="41">
        <v>69</v>
      </c>
      <c r="S2162" t="s">
        <v>3321</v>
      </c>
      <c r="AH2162" t="s">
        <v>359</v>
      </c>
    </row>
    <row r="2163" spans="1:34" ht="15.75">
      <c r="A2163" s="29">
        <f t="shared" si="33"/>
        <v>61600</v>
      </c>
      <c r="B2163" s="2">
        <v>443</v>
      </c>
      <c r="C2163" s="2">
        <v>8</v>
      </c>
      <c r="D2163" s="2">
        <v>1817</v>
      </c>
      <c r="E2163">
        <v>8233</v>
      </c>
      <c r="I2163" s="2">
        <v>61600</v>
      </c>
      <c r="J2163" s="2">
        <v>0</v>
      </c>
      <c r="K2163" s="2" t="s">
        <v>850</v>
      </c>
      <c r="L2163" s="43" t="s">
        <v>4592</v>
      </c>
      <c r="M2163" s="41" t="s">
        <v>4593</v>
      </c>
      <c r="O2163" s="41" t="s">
        <v>4594</v>
      </c>
      <c r="P2163" s="41">
        <v>6</v>
      </c>
      <c r="Q2163" s="41">
        <v>6</v>
      </c>
      <c r="R2163" s="41">
        <v>60</v>
      </c>
      <c r="S2163" t="s">
        <v>4595</v>
      </c>
      <c r="T2163" t="s">
        <v>4205</v>
      </c>
      <c r="V2163" t="s">
        <v>4596</v>
      </c>
      <c r="AH2163" t="s">
        <v>359</v>
      </c>
    </row>
    <row r="2164" spans="1:34" ht="15.75">
      <c r="A2164" s="29">
        <f t="shared" si="33"/>
        <v>17483</v>
      </c>
      <c r="B2164" s="8">
        <v>443</v>
      </c>
      <c r="C2164" s="2">
        <v>8</v>
      </c>
      <c r="D2164" s="2">
        <v>1817</v>
      </c>
      <c r="E2164">
        <v>8234</v>
      </c>
      <c r="F2164" s="9"/>
      <c r="G2164" s="9"/>
      <c r="H2164" s="9"/>
      <c r="I2164" s="8">
        <v>17483</v>
      </c>
      <c r="J2164" s="8">
        <v>0</v>
      </c>
      <c r="K2164" s="2" t="s">
        <v>850</v>
      </c>
      <c r="L2164" s="43" t="s">
        <v>4597</v>
      </c>
      <c r="M2164" s="41" t="s">
        <v>4598</v>
      </c>
      <c r="O2164" s="41" t="s">
        <v>4599</v>
      </c>
      <c r="P2164" s="41">
        <v>28</v>
      </c>
      <c r="Q2164" s="41">
        <v>6</v>
      </c>
      <c r="S2164" t="s">
        <v>4600</v>
      </c>
      <c r="T2164" t="s">
        <v>4601</v>
      </c>
      <c r="U2164" t="s">
        <v>4599</v>
      </c>
      <c r="V2164" t="s">
        <v>3005</v>
      </c>
      <c r="AH2164" t="s">
        <v>359</v>
      </c>
    </row>
    <row r="2165" spans="1:34" ht="15.75">
      <c r="A2165" s="29">
        <f t="shared" si="33"/>
        <v>4205</v>
      </c>
      <c r="B2165" s="2">
        <v>443</v>
      </c>
      <c r="C2165" s="2">
        <v>8</v>
      </c>
      <c r="D2165" s="2">
        <v>1817</v>
      </c>
      <c r="E2165">
        <v>8235</v>
      </c>
      <c r="I2165" s="2">
        <v>4205</v>
      </c>
      <c r="J2165" s="2">
        <v>0</v>
      </c>
      <c r="K2165" s="2" t="s">
        <v>850</v>
      </c>
      <c r="L2165" s="43" t="s">
        <v>5839</v>
      </c>
      <c r="P2165" s="41">
        <v>11</v>
      </c>
      <c r="Q2165" s="41">
        <v>10</v>
      </c>
      <c r="R2165" s="41">
        <v>49</v>
      </c>
      <c r="S2165" t="s">
        <v>3321</v>
      </c>
      <c r="AH2165" t="s">
        <v>359</v>
      </c>
    </row>
    <row r="2166" spans="1:34" ht="15.75">
      <c r="A2166" s="29">
        <f t="shared" si="33"/>
        <v>70000</v>
      </c>
      <c r="B2166" s="2">
        <v>443</v>
      </c>
      <c r="C2166" s="2">
        <v>8</v>
      </c>
      <c r="D2166" s="2">
        <v>1817</v>
      </c>
      <c r="E2166">
        <v>8236</v>
      </c>
      <c r="I2166" s="2">
        <f>65000+5000</f>
        <v>70000</v>
      </c>
      <c r="J2166" s="2">
        <v>0</v>
      </c>
      <c r="K2166" s="2" t="s">
        <v>850</v>
      </c>
      <c r="L2166" s="43" t="s">
        <v>4602</v>
      </c>
      <c r="M2166" s="41" t="s">
        <v>4603</v>
      </c>
      <c r="O2166" s="41" t="s">
        <v>4604</v>
      </c>
      <c r="P2166" s="41">
        <v>22</v>
      </c>
      <c r="Q2166" s="41">
        <v>7</v>
      </c>
      <c r="R2166" s="41">
        <v>20</v>
      </c>
      <c r="S2166" t="s">
        <v>4605</v>
      </c>
      <c r="T2166" t="s">
        <v>4606</v>
      </c>
      <c r="V2166" t="s">
        <v>5815</v>
      </c>
      <c r="AH2166" t="s">
        <v>359</v>
      </c>
    </row>
    <row r="2167" spans="1:34" ht="15.75">
      <c r="A2167" s="29">
        <f t="shared" si="33"/>
        <v>56</v>
      </c>
      <c r="B2167" s="2">
        <v>443</v>
      </c>
      <c r="C2167" s="2">
        <v>8</v>
      </c>
      <c r="D2167" s="2">
        <v>1817</v>
      </c>
      <c r="E2167">
        <v>8237</v>
      </c>
      <c r="I2167" s="2">
        <v>56</v>
      </c>
      <c r="J2167" s="2">
        <v>0</v>
      </c>
      <c r="K2167" s="2" t="s">
        <v>850</v>
      </c>
      <c r="L2167" s="43" t="s">
        <v>3683</v>
      </c>
      <c r="P2167" s="41">
        <v>17</v>
      </c>
      <c r="Q2167" s="41">
        <v>10</v>
      </c>
      <c r="R2167" s="41">
        <v>32</v>
      </c>
      <c r="S2167" t="s">
        <v>3321</v>
      </c>
      <c r="AH2167" t="s">
        <v>359</v>
      </c>
    </row>
    <row r="2168" spans="1:34" ht="15.75">
      <c r="A2168" s="29">
        <f t="shared" si="33"/>
        <v>450</v>
      </c>
      <c r="B2168" s="2">
        <v>443</v>
      </c>
      <c r="C2168" s="2">
        <v>8</v>
      </c>
      <c r="D2168" s="2">
        <v>1817</v>
      </c>
      <c r="E2168">
        <v>8238</v>
      </c>
      <c r="I2168" s="2">
        <v>450</v>
      </c>
      <c r="J2168" s="2">
        <v>0</v>
      </c>
      <c r="K2168" s="2" t="s">
        <v>850</v>
      </c>
      <c r="L2168" s="43" t="s">
        <v>3683</v>
      </c>
      <c r="P2168" s="41">
        <v>15</v>
      </c>
      <c r="Q2168" s="41">
        <v>11</v>
      </c>
      <c r="R2168" s="41">
        <v>55</v>
      </c>
      <c r="S2168" t="s">
        <v>3321</v>
      </c>
      <c r="AH2168" t="s">
        <v>359</v>
      </c>
    </row>
    <row r="2169" spans="1:34" ht="15.75">
      <c r="A2169" s="29">
        <f t="shared" si="33"/>
        <v>1914</v>
      </c>
      <c r="B2169" s="2">
        <v>443</v>
      </c>
      <c r="C2169" s="2">
        <v>8</v>
      </c>
      <c r="D2169" s="2">
        <v>1817</v>
      </c>
      <c r="E2169">
        <v>8239</v>
      </c>
      <c r="I2169" s="2">
        <v>1914</v>
      </c>
      <c r="J2169" s="2">
        <v>0</v>
      </c>
      <c r="K2169" s="2" t="s">
        <v>850</v>
      </c>
      <c r="L2169" s="43" t="s">
        <v>5744</v>
      </c>
      <c r="P2169" s="41">
        <v>28</v>
      </c>
      <c r="Q2169" s="41">
        <v>10</v>
      </c>
      <c r="R2169" s="41">
        <v>34</v>
      </c>
      <c r="S2169" t="s">
        <v>3321</v>
      </c>
      <c r="AH2169" t="s">
        <v>359</v>
      </c>
    </row>
    <row r="2170" spans="1:34" ht="15.75">
      <c r="A2170" s="29">
        <f t="shared" si="33"/>
        <v>400</v>
      </c>
      <c r="B2170" s="2">
        <v>443</v>
      </c>
      <c r="C2170" s="2">
        <v>8</v>
      </c>
      <c r="D2170" s="2">
        <v>1817</v>
      </c>
      <c r="E2170">
        <v>8240</v>
      </c>
      <c r="I2170" s="2">
        <v>400</v>
      </c>
      <c r="J2170" s="2">
        <v>0</v>
      </c>
      <c r="K2170" s="2" t="s">
        <v>850</v>
      </c>
      <c r="L2170" s="43" t="s">
        <v>5745</v>
      </c>
      <c r="P2170" s="41">
        <v>10</v>
      </c>
      <c r="Q2170" s="41">
        <v>5</v>
      </c>
      <c r="R2170" s="41">
        <v>52</v>
      </c>
      <c r="S2170" t="s">
        <v>3321</v>
      </c>
      <c r="AH2170" t="s">
        <v>359</v>
      </c>
    </row>
    <row r="2171" spans="1:34" ht="15.75">
      <c r="A2171" s="29">
        <f t="shared" si="33"/>
        <v>11892</v>
      </c>
      <c r="B2171" s="2">
        <v>443</v>
      </c>
      <c r="C2171" s="2">
        <v>8</v>
      </c>
      <c r="D2171" s="2">
        <v>1817</v>
      </c>
      <c r="E2171">
        <v>8241</v>
      </c>
      <c r="I2171" s="2">
        <v>11892</v>
      </c>
      <c r="J2171" s="2">
        <v>0</v>
      </c>
      <c r="K2171" s="2" t="s">
        <v>850</v>
      </c>
      <c r="L2171" s="43" t="s">
        <v>5746</v>
      </c>
      <c r="P2171" s="41">
        <v>6</v>
      </c>
      <c r="Q2171" s="41">
        <v>4</v>
      </c>
      <c r="R2171" s="41">
        <v>52</v>
      </c>
      <c r="S2171" t="s">
        <v>3321</v>
      </c>
      <c r="AH2171" t="s">
        <v>359</v>
      </c>
    </row>
    <row r="2172" spans="1:34" ht="15.75">
      <c r="A2172" s="29">
        <f t="shared" si="33"/>
        <v>342</v>
      </c>
      <c r="B2172" s="2">
        <v>443</v>
      </c>
      <c r="C2172" s="2">
        <v>8</v>
      </c>
      <c r="D2172" s="2">
        <v>1817</v>
      </c>
      <c r="E2172">
        <v>8243</v>
      </c>
      <c r="I2172" s="2">
        <v>342</v>
      </c>
      <c r="J2172" s="2">
        <v>0</v>
      </c>
      <c r="K2172" s="2" t="s">
        <v>850</v>
      </c>
      <c r="L2172" s="43" t="s">
        <v>4611</v>
      </c>
      <c r="P2172" s="41">
        <v>6</v>
      </c>
      <c r="Q2172" s="41">
        <v>8</v>
      </c>
      <c r="R2172" s="41">
        <v>25</v>
      </c>
      <c r="S2172" t="s">
        <v>3321</v>
      </c>
      <c r="AH2172" t="s">
        <v>359</v>
      </c>
    </row>
    <row r="2173" spans="1:34" ht="15.75">
      <c r="A2173" s="29">
        <f t="shared" si="33"/>
        <v>46</v>
      </c>
      <c r="B2173" s="2">
        <v>443</v>
      </c>
      <c r="C2173" s="2">
        <v>8</v>
      </c>
      <c r="D2173" s="2">
        <v>1817</v>
      </c>
      <c r="E2173">
        <v>8244</v>
      </c>
      <c r="I2173" s="2">
        <v>46</v>
      </c>
      <c r="J2173" s="2">
        <v>0</v>
      </c>
      <c r="K2173" s="2" t="s">
        <v>850</v>
      </c>
      <c r="L2173" s="43" t="s">
        <v>3684</v>
      </c>
      <c r="P2173" s="41">
        <v>26</v>
      </c>
      <c r="Q2173" s="41">
        <v>3</v>
      </c>
      <c r="R2173" s="41">
        <v>42</v>
      </c>
      <c r="S2173" t="s">
        <v>3321</v>
      </c>
      <c r="AH2173" t="s">
        <v>359</v>
      </c>
    </row>
    <row r="2174" spans="1:34" ht="15.75">
      <c r="A2174" s="29">
        <f t="shared" si="33"/>
        <v>8781</v>
      </c>
      <c r="B2174" s="2">
        <v>443</v>
      </c>
      <c r="C2174" s="2">
        <v>8</v>
      </c>
      <c r="D2174" s="2">
        <v>1817</v>
      </c>
      <c r="E2174">
        <v>8245</v>
      </c>
      <c r="I2174" s="2">
        <v>8781</v>
      </c>
      <c r="J2174" s="2">
        <v>0</v>
      </c>
      <c r="K2174" s="2" t="s">
        <v>850</v>
      </c>
      <c r="L2174" s="43" t="s">
        <v>5748</v>
      </c>
      <c r="P2174" s="41">
        <v>2</v>
      </c>
      <c r="Q2174" s="41">
        <v>2</v>
      </c>
      <c r="R2174" s="41">
        <v>59</v>
      </c>
      <c r="S2174" t="s">
        <v>3343</v>
      </c>
      <c r="AH2174" t="s">
        <v>359</v>
      </c>
    </row>
    <row r="2175" spans="1:34" ht="15.75">
      <c r="A2175" s="29">
        <f t="shared" si="33"/>
        <v>2002</v>
      </c>
      <c r="B2175" s="2">
        <v>443</v>
      </c>
      <c r="C2175" s="2">
        <v>8</v>
      </c>
      <c r="D2175" s="2">
        <v>1817</v>
      </c>
      <c r="E2175">
        <v>8246</v>
      </c>
      <c r="I2175" s="2">
        <v>2002</v>
      </c>
      <c r="J2175" s="2">
        <v>0</v>
      </c>
      <c r="K2175" s="2" t="s">
        <v>850</v>
      </c>
      <c r="L2175" s="43" t="s">
        <v>5748</v>
      </c>
      <c r="P2175" s="41">
        <v>6</v>
      </c>
      <c r="Q2175" s="41">
        <v>12</v>
      </c>
      <c r="R2175" s="41">
        <v>66</v>
      </c>
      <c r="S2175" t="s">
        <v>3324</v>
      </c>
      <c r="AH2175" t="s">
        <v>359</v>
      </c>
    </row>
    <row r="2176" spans="1:34" ht="15.75">
      <c r="A2176" s="29">
        <f t="shared" si="33"/>
        <v>4022</v>
      </c>
      <c r="B2176" s="2">
        <v>443</v>
      </c>
      <c r="C2176" s="2">
        <v>8</v>
      </c>
      <c r="D2176" s="2">
        <v>1817</v>
      </c>
      <c r="E2176">
        <v>8248</v>
      </c>
      <c r="I2176" s="2">
        <v>4022</v>
      </c>
      <c r="J2176" s="2">
        <v>0</v>
      </c>
      <c r="K2176" s="2" t="s">
        <v>850</v>
      </c>
      <c r="L2176" s="43" t="s">
        <v>624</v>
      </c>
      <c r="P2176" s="41">
        <v>25</v>
      </c>
      <c r="Q2176" s="41">
        <v>7</v>
      </c>
      <c r="R2176" s="41">
        <v>65</v>
      </c>
      <c r="S2176" t="s">
        <v>3321</v>
      </c>
      <c r="AH2176" t="s">
        <v>359</v>
      </c>
    </row>
    <row r="2177" spans="1:34" ht="15.75">
      <c r="A2177" s="29">
        <f t="shared" si="33"/>
        <v>2000</v>
      </c>
      <c r="B2177" s="2">
        <v>444</v>
      </c>
      <c r="C2177" s="2">
        <v>8</v>
      </c>
      <c r="D2177" s="2">
        <v>1817</v>
      </c>
      <c r="E2177">
        <v>8272</v>
      </c>
      <c r="H2177" t="s">
        <v>1541</v>
      </c>
      <c r="I2177" s="2">
        <v>2000</v>
      </c>
      <c r="J2177" s="2">
        <v>0</v>
      </c>
      <c r="K2177" s="2" t="s">
        <v>850</v>
      </c>
      <c r="L2177" s="43" t="s">
        <v>5752</v>
      </c>
      <c r="P2177" s="41">
        <v>16</v>
      </c>
      <c r="Q2177" s="41">
        <v>2</v>
      </c>
      <c r="R2177" s="41">
        <v>78</v>
      </c>
      <c r="S2177" t="s">
        <v>3329</v>
      </c>
      <c r="AH2177" t="s">
        <v>359</v>
      </c>
    </row>
    <row r="2178" spans="1:34" ht="15.75">
      <c r="A2178" s="29">
        <f aca="true" t="shared" si="34" ref="A2178:A2241">I2178+J2178*20*X2178</f>
        <v>111077</v>
      </c>
      <c r="B2178" s="2">
        <v>444</v>
      </c>
      <c r="C2178" s="2">
        <v>8</v>
      </c>
      <c r="D2178" s="2">
        <v>1817</v>
      </c>
      <c r="E2178">
        <v>8273</v>
      </c>
      <c r="H2178" t="s">
        <v>1540</v>
      </c>
      <c r="I2178" s="2">
        <f>7577+6000</f>
        <v>13577</v>
      </c>
      <c r="J2178" s="2">
        <f>3000+3500</f>
        <v>6500</v>
      </c>
      <c r="K2178" s="2" t="s">
        <v>850</v>
      </c>
      <c r="L2178" s="43" t="s">
        <v>4617</v>
      </c>
      <c r="M2178" s="41" t="s">
        <v>4618</v>
      </c>
      <c r="N2178" s="41" t="s">
        <v>4619</v>
      </c>
      <c r="O2178" s="41" t="s">
        <v>4620</v>
      </c>
      <c r="P2178" s="41">
        <v>1</v>
      </c>
      <c r="Q2178" s="41">
        <v>12</v>
      </c>
      <c r="R2178" s="41">
        <v>57</v>
      </c>
      <c r="S2178" t="s">
        <v>3343</v>
      </c>
      <c r="T2178" t="s">
        <v>4621</v>
      </c>
      <c r="V2178" t="s">
        <v>4156</v>
      </c>
      <c r="X2178">
        <v>0.75</v>
      </c>
      <c r="Y2178" t="s">
        <v>4622</v>
      </c>
      <c r="Z2178">
        <v>2</v>
      </c>
      <c r="AA2178" t="s">
        <v>4623</v>
      </c>
      <c r="AC2178" t="s">
        <v>4624</v>
      </c>
      <c r="AH2178" t="s">
        <v>359</v>
      </c>
    </row>
    <row r="2179" spans="1:34" ht="15.75">
      <c r="A2179" s="29">
        <f t="shared" si="34"/>
        <v>1580</v>
      </c>
      <c r="B2179" s="2">
        <v>444</v>
      </c>
      <c r="C2179" s="2">
        <v>8</v>
      </c>
      <c r="D2179" s="2">
        <v>1817</v>
      </c>
      <c r="E2179">
        <v>8274</v>
      </c>
      <c r="H2179" t="s">
        <v>1540</v>
      </c>
      <c r="I2179" s="2">
        <v>1580</v>
      </c>
      <c r="J2179" s="2">
        <v>0</v>
      </c>
      <c r="K2179" s="2" t="s">
        <v>850</v>
      </c>
      <c r="L2179" s="43" t="s">
        <v>4625</v>
      </c>
      <c r="P2179" s="41">
        <v>17</v>
      </c>
      <c r="Q2179" s="41">
        <v>3</v>
      </c>
      <c r="R2179" s="41">
        <v>32</v>
      </c>
      <c r="S2179" t="s">
        <v>3321</v>
      </c>
      <c r="AH2179" t="s">
        <v>359</v>
      </c>
    </row>
    <row r="2180" spans="1:34" ht="15.75">
      <c r="A2180" s="29">
        <f t="shared" si="34"/>
        <v>3727</v>
      </c>
      <c r="B2180" s="2">
        <v>444</v>
      </c>
      <c r="C2180" s="2">
        <v>8</v>
      </c>
      <c r="D2180" s="2">
        <v>1817</v>
      </c>
      <c r="E2180">
        <v>8276</v>
      </c>
      <c r="H2180" t="s">
        <v>1540</v>
      </c>
      <c r="I2180" s="2">
        <v>3727</v>
      </c>
      <c r="J2180" s="2">
        <v>0</v>
      </c>
      <c r="K2180" s="2" t="s">
        <v>850</v>
      </c>
      <c r="L2180" s="43" t="s">
        <v>4631</v>
      </c>
      <c r="P2180" s="41">
        <v>4</v>
      </c>
      <c r="Q2180" s="41">
        <v>4</v>
      </c>
      <c r="R2180" s="41">
        <v>46</v>
      </c>
      <c r="S2180" t="s">
        <v>3343</v>
      </c>
      <c r="AH2180" t="s">
        <v>359</v>
      </c>
    </row>
    <row r="2181" spans="1:34" ht="15.75">
      <c r="A2181" s="29">
        <f t="shared" si="34"/>
        <v>1673</v>
      </c>
      <c r="B2181" s="2">
        <v>444</v>
      </c>
      <c r="C2181" s="2">
        <v>8</v>
      </c>
      <c r="D2181" s="2">
        <v>1817</v>
      </c>
      <c r="E2181">
        <v>8277</v>
      </c>
      <c r="H2181" t="s">
        <v>1540</v>
      </c>
      <c r="I2181" s="2">
        <v>1673</v>
      </c>
      <c r="J2181" s="2">
        <v>0</v>
      </c>
      <c r="K2181" s="2" t="s">
        <v>850</v>
      </c>
      <c r="L2181" s="43" t="s">
        <v>4631</v>
      </c>
      <c r="P2181" s="41">
        <v>22</v>
      </c>
      <c r="Q2181" s="41">
        <v>10</v>
      </c>
      <c r="R2181" s="41">
        <v>50</v>
      </c>
      <c r="S2181" t="s">
        <v>1547</v>
      </c>
      <c r="AH2181" t="s">
        <v>359</v>
      </c>
    </row>
    <row r="2182" spans="1:34" ht="15.75">
      <c r="A2182" s="29">
        <f t="shared" si="34"/>
        <v>61954</v>
      </c>
      <c r="B2182" s="2">
        <v>444</v>
      </c>
      <c r="C2182" s="2">
        <v>8</v>
      </c>
      <c r="D2182" s="2">
        <v>1817</v>
      </c>
      <c r="E2182">
        <v>8278</v>
      </c>
      <c r="H2182" t="s">
        <v>1540</v>
      </c>
      <c r="I2182" s="2">
        <v>61954</v>
      </c>
      <c r="J2182" s="2">
        <v>0</v>
      </c>
      <c r="K2182" s="2" t="s">
        <v>850</v>
      </c>
      <c r="L2182" s="43" t="s">
        <v>2225</v>
      </c>
      <c r="M2182" s="41" t="s">
        <v>2226</v>
      </c>
      <c r="N2182" s="41" t="s">
        <v>2227</v>
      </c>
      <c r="O2182" s="41" t="s">
        <v>2228</v>
      </c>
      <c r="P2182" s="41">
        <v>6</v>
      </c>
      <c r="Q2182" s="41">
        <v>1</v>
      </c>
      <c r="R2182" s="41">
        <v>76</v>
      </c>
      <c r="S2182" t="s">
        <v>2229</v>
      </c>
      <c r="T2182" t="s">
        <v>2230</v>
      </c>
      <c r="V2182" t="s">
        <v>2231</v>
      </c>
      <c r="AH2182" t="s">
        <v>359</v>
      </c>
    </row>
    <row r="2183" spans="1:34" ht="15.75">
      <c r="A2183" s="29">
        <f t="shared" si="34"/>
        <v>233</v>
      </c>
      <c r="B2183" s="2">
        <v>444</v>
      </c>
      <c r="C2183" s="2">
        <v>8</v>
      </c>
      <c r="D2183" s="2">
        <v>1817</v>
      </c>
      <c r="E2183">
        <v>8279</v>
      </c>
      <c r="H2183" t="s">
        <v>1541</v>
      </c>
      <c r="I2183" s="2">
        <v>233</v>
      </c>
      <c r="J2183" s="2">
        <v>0</v>
      </c>
      <c r="K2183" s="2" t="s">
        <v>850</v>
      </c>
      <c r="L2183" s="43" t="s">
        <v>5953</v>
      </c>
      <c r="P2183" s="41">
        <v>12</v>
      </c>
      <c r="Q2183" s="41">
        <v>8</v>
      </c>
      <c r="R2183" s="41">
        <v>75</v>
      </c>
      <c r="S2183" t="s">
        <v>3329</v>
      </c>
      <c r="AH2183" t="s">
        <v>359</v>
      </c>
    </row>
    <row r="2184" spans="1:34" ht="15.75">
      <c r="A2184" s="29">
        <f t="shared" si="34"/>
        <v>20000</v>
      </c>
      <c r="B2184" s="8">
        <v>444</v>
      </c>
      <c r="C2184" s="2">
        <v>8</v>
      </c>
      <c r="D2184" s="2">
        <v>1817</v>
      </c>
      <c r="E2184">
        <v>8280</v>
      </c>
      <c r="F2184" s="9"/>
      <c r="G2184" s="9"/>
      <c r="H2184" s="9" t="s">
        <v>1541</v>
      </c>
      <c r="I2184" s="8">
        <v>20000</v>
      </c>
      <c r="J2184" s="8">
        <v>0</v>
      </c>
      <c r="K2184" s="2" t="s">
        <v>850</v>
      </c>
      <c r="L2184" s="43" t="s">
        <v>2232</v>
      </c>
      <c r="M2184" s="43" t="s">
        <v>2233</v>
      </c>
      <c r="N2184" s="43"/>
      <c r="O2184" s="43" t="s">
        <v>2234</v>
      </c>
      <c r="P2184" s="43">
        <v>2</v>
      </c>
      <c r="Q2184" s="43">
        <v>9</v>
      </c>
      <c r="R2184" s="43">
        <v>50</v>
      </c>
      <c r="S2184" s="12" t="s">
        <v>2235</v>
      </c>
      <c r="T2184" s="12" t="s">
        <v>2236</v>
      </c>
      <c r="V2184" s="12" t="s">
        <v>3888</v>
      </c>
      <c r="W2184" s="12"/>
      <c r="X2184" s="12"/>
      <c r="Y2184" s="12"/>
      <c r="Z2184" s="9"/>
      <c r="AA2184" s="9"/>
      <c r="AB2184" s="9"/>
      <c r="AC2184" s="9"/>
      <c r="AD2184" s="9"/>
      <c r="AE2184" s="9"/>
      <c r="AF2184" s="9"/>
      <c r="AG2184" s="9"/>
      <c r="AH2184" t="s">
        <v>359</v>
      </c>
    </row>
    <row r="2185" spans="1:34" ht="15.75">
      <c r="A2185" s="29">
        <f t="shared" si="34"/>
        <v>803871</v>
      </c>
      <c r="B2185" s="2">
        <v>445</v>
      </c>
      <c r="C2185" s="2">
        <v>8</v>
      </c>
      <c r="D2185" s="2">
        <v>1817</v>
      </c>
      <c r="E2185">
        <v>8313</v>
      </c>
      <c r="H2185" t="s">
        <v>1540</v>
      </c>
      <c r="I2185" s="2">
        <f>686059+117812</f>
        <v>803871</v>
      </c>
      <c r="J2185" s="2">
        <v>0</v>
      </c>
      <c r="K2185" s="2" t="s">
        <v>850</v>
      </c>
      <c r="L2185" s="43" t="s">
        <v>2241</v>
      </c>
      <c r="M2185" s="41" t="s">
        <v>2242</v>
      </c>
      <c r="N2185" s="41" t="s">
        <v>2243</v>
      </c>
      <c r="O2185" s="41" t="s">
        <v>2244</v>
      </c>
      <c r="P2185" s="41">
        <v>18</v>
      </c>
      <c r="Q2185" s="41">
        <v>2</v>
      </c>
      <c r="R2185" s="41">
        <v>65</v>
      </c>
      <c r="S2185" t="s">
        <v>2245</v>
      </c>
      <c r="T2185" t="s">
        <v>2246</v>
      </c>
      <c r="V2185" t="s">
        <v>4279</v>
      </c>
      <c r="AA2185" t="s">
        <v>2247</v>
      </c>
      <c r="AC2185" t="s">
        <v>3152</v>
      </c>
      <c r="AH2185" t="s">
        <v>359</v>
      </c>
    </row>
    <row r="2186" spans="1:34" ht="15.75">
      <c r="A2186" s="29">
        <f t="shared" si="34"/>
        <v>603</v>
      </c>
      <c r="B2186" s="2">
        <v>445</v>
      </c>
      <c r="C2186" s="2">
        <v>8</v>
      </c>
      <c r="D2186" s="2">
        <v>1817</v>
      </c>
      <c r="E2186">
        <v>8314</v>
      </c>
      <c r="H2186" t="s">
        <v>1541</v>
      </c>
      <c r="I2186" s="2">
        <v>603</v>
      </c>
      <c r="J2186" s="2">
        <v>0</v>
      </c>
      <c r="K2186" s="2" t="s">
        <v>850</v>
      </c>
      <c r="L2186" s="43" t="s">
        <v>3691</v>
      </c>
      <c r="P2186" s="41">
        <v>31</v>
      </c>
      <c r="Q2186" s="41">
        <v>1</v>
      </c>
      <c r="R2186" s="41">
        <v>78</v>
      </c>
      <c r="S2186" t="s">
        <v>3329</v>
      </c>
      <c r="AH2186" t="s">
        <v>359</v>
      </c>
    </row>
    <row r="2187" spans="1:34" ht="15.75">
      <c r="A2187" s="29">
        <f t="shared" si="34"/>
        <v>6316</v>
      </c>
      <c r="B2187" s="8">
        <v>445</v>
      </c>
      <c r="C2187" s="2">
        <v>8</v>
      </c>
      <c r="D2187" s="2">
        <v>1817</v>
      </c>
      <c r="E2187">
        <v>8315</v>
      </c>
      <c r="F2187" s="9"/>
      <c r="G2187" s="9"/>
      <c r="H2187" s="9" t="s">
        <v>1540</v>
      </c>
      <c r="I2187" s="8">
        <v>6316</v>
      </c>
      <c r="J2187" s="8">
        <v>0</v>
      </c>
      <c r="K2187" s="2" t="s">
        <v>850</v>
      </c>
      <c r="L2187" s="43" t="s">
        <v>2248</v>
      </c>
      <c r="P2187" s="41">
        <v>30</v>
      </c>
      <c r="Q2187" s="41">
        <v>8</v>
      </c>
      <c r="R2187" s="41">
        <v>62</v>
      </c>
      <c r="S2187" t="s">
        <v>3343</v>
      </c>
      <c r="AH2187" t="s">
        <v>359</v>
      </c>
    </row>
    <row r="2188" spans="1:34" ht="15.75">
      <c r="A2188" s="29">
        <f t="shared" si="34"/>
        <v>18668</v>
      </c>
      <c r="B2188" s="8">
        <v>445</v>
      </c>
      <c r="C2188" s="2">
        <v>8</v>
      </c>
      <c r="D2188" s="2">
        <v>1817</v>
      </c>
      <c r="E2188">
        <v>8316</v>
      </c>
      <c r="F2188" s="9"/>
      <c r="G2188" s="9"/>
      <c r="H2188" s="9" t="s">
        <v>1540</v>
      </c>
      <c r="I2188" s="8">
        <v>18668</v>
      </c>
      <c r="J2188" s="8">
        <v>0</v>
      </c>
      <c r="K2188" s="8" t="s">
        <v>865</v>
      </c>
      <c r="L2188" s="43" t="s">
        <v>2249</v>
      </c>
      <c r="M2188" s="41" t="s">
        <v>2250</v>
      </c>
      <c r="N2188" s="41" t="s">
        <v>4004</v>
      </c>
      <c r="O2188" s="41" t="s">
        <v>2251</v>
      </c>
      <c r="P2188" s="41">
        <v>19</v>
      </c>
      <c r="Q2188" s="41">
        <v>12</v>
      </c>
      <c r="S2188" t="s">
        <v>2252</v>
      </c>
      <c r="T2188" t="s">
        <v>2253</v>
      </c>
      <c r="U2188" t="s">
        <v>2251</v>
      </c>
      <c r="V2188" t="s">
        <v>3165</v>
      </c>
      <c r="AH2188" t="s">
        <v>359</v>
      </c>
    </row>
    <row r="2189" spans="1:34" ht="15.75">
      <c r="A2189" s="29">
        <f t="shared" si="34"/>
        <v>20185</v>
      </c>
      <c r="B2189" s="8">
        <v>445</v>
      </c>
      <c r="C2189" s="2">
        <v>8</v>
      </c>
      <c r="D2189" s="2">
        <v>1817</v>
      </c>
      <c r="E2189">
        <v>8317</v>
      </c>
      <c r="F2189" s="9"/>
      <c r="G2189" s="9"/>
      <c r="H2189" s="9" t="s">
        <v>1541</v>
      </c>
      <c r="I2189" s="8">
        <v>20185</v>
      </c>
      <c r="J2189" s="8">
        <v>0</v>
      </c>
      <c r="K2189" s="8" t="s">
        <v>865</v>
      </c>
      <c r="L2189" s="43" t="s">
        <v>2254</v>
      </c>
      <c r="M2189" s="41" t="s">
        <v>3506</v>
      </c>
      <c r="N2189" s="41" t="s">
        <v>2255</v>
      </c>
      <c r="O2189" s="41" t="s">
        <v>2256</v>
      </c>
      <c r="P2189" s="41">
        <v>11</v>
      </c>
      <c r="Q2189" s="41">
        <v>12</v>
      </c>
      <c r="R2189" s="41">
        <v>80</v>
      </c>
      <c r="S2189" t="s">
        <v>2257</v>
      </c>
      <c r="T2189" t="s">
        <v>2258</v>
      </c>
      <c r="V2189" t="s">
        <v>4654</v>
      </c>
      <c r="AH2189" t="s">
        <v>359</v>
      </c>
    </row>
    <row r="2190" spans="1:34" ht="15.75">
      <c r="A2190" s="29">
        <f t="shared" si="34"/>
        <v>8600</v>
      </c>
      <c r="B2190" s="8">
        <v>445</v>
      </c>
      <c r="C2190" s="2">
        <v>8</v>
      </c>
      <c r="D2190" s="2">
        <v>1817</v>
      </c>
      <c r="E2190">
        <v>8319</v>
      </c>
      <c r="F2190" s="9"/>
      <c r="G2190" s="9"/>
      <c r="H2190" s="9" t="s">
        <v>850</v>
      </c>
      <c r="I2190" s="8">
        <v>8600</v>
      </c>
      <c r="J2190" s="8">
        <v>0</v>
      </c>
      <c r="K2190" s="8" t="s">
        <v>865</v>
      </c>
      <c r="L2190" s="43" t="s">
        <v>1403</v>
      </c>
      <c r="P2190" s="41">
        <v>27</v>
      </c>
      <c r="Q2190" s="41">
        <v>1</v>
      </c>
      <c r="R2190" s="41">
        <v>28</v>
      </c>
      <c r="S2190" t="s">
        <v>3321</v>
      </c>
      <c r="AH2190" t="s">
        <v>359</v>
      </c>
    </row>
    <row r="2191" spans="1:34" ht="15.75">
      <c r="A2191" s="29">
        <f t="shared" si="34"/>
        <v>206</v>
      </c>
      <c r="B2191" s="8">
        <v>445</v>
      </c>
      <c r="C2191" s="2">
        <v>8</v>
      </c>
      <c r="D2191" s="2">
        <v>1817</v>
      </c>
      <c r="E2191">
        <v>8320</v>
      </c>
      <c r="F2191" s="9"/>
      <c r="G2191" s="9"/>
      <c r="H2191" s="9" t="s">
        <v>850</v>
      </c>
      <c r="I2191" s="8">
        <v>206</v>
      </c>
      <c r="J2191" s="8"/>
      <c r="K2191" s="8" t="s">
        <v>865</v>
      </c>
      <c r="L2191" s="43" t="s">
        <v>2264</v>
      </c>
      <c r="P2191" s="41">
        <v>8</v>
      </c>
      <c r="Q2191" s="41">
        <v>6</v>
      </c>
      <c r="R2191" s="41">
        <v>74</v>
      </c>
      <c r="S2191" t="s">
        <v>3343</v>
      </c>
      <c r="AH2191" t="s">
        <v>359</v>
      </c>
    </row>
    <row r="2192" spans="1:34" ht="15.75">
      <c r="A2192" s="29">
        <f t="shared" si="34"/>
        <v>481</v>
      </c>
      <c r="B2192" s="2">
        <v>445</v>
      </c>
      <c r="C2192" s="2">
        <v>8</v>
      </c>
      <c r="D2192" s="2">
        <v>1817</v>
      </c>
      <c r="E2192">
        <v>8321</v>
      </c>
      <c r="H2192" t="s">
        <v>1540</v>
      </c>
      <c r="I2192" s="2">
        <v>481</v>
      </c>
      <c r="J2192" s="2">
        <v>0</v>
      </c>
      <c r="K2192" s="8" t="s">
        <v>865</v>
      </c>
      <c r="L2192" s="43" t="s">
        <v>5992</v>
      </c>
      <c r="P2192" s="41">
        <v>6</v>
      </c>
      <c r="Q2192" s="41">
        <v>1</v>
      </c>
      <c r="R2192" s="41">
        <v>63</v>
      </c>
      <c r="S2192" t="s">
        <v>3321</v>
      </c>
      <c r="AH2192" t="s">
        <v>359</v>
      </c>
    </row>
    <row r="2193" spans="1:34" ht="15.75">
      <c r="A2193" s="29">
        <f t="shared" si="34"/>
        <v>42668</v>
      </c>
      <c r="B2193" s="2">
        <v>445</v>
      </c>
      <c r="C2193" s="2">
        <v>8</v>
      </c>
      <c r="D2193" s="2">
        <v>1817</v>
      </c>
      <c r="E2193">
        <v>8322</v>
      </c>
      <c r="H2193" t="s">
        <v>1540</v>
      </c>
      <c r="I2193" s="2">
        <f>17668+10000+15000</f>
        <v>42668</v>
      </c>
      <c r="J2193" s="2">
        <v>0</v>
      </c>
      <c r="K2193" s="8" t="s">
        <v>865</v>
      </c>
      <c r="L2193" s="43" t="s">
        <v>2265</v>
      </c>
      <c r="M2193" s="41" t="s">
        <v>5952</v>
      </c>
      <c r="N2193" s="41" t="s">
        <v>2266</v>
      </c>
      <c r="O2193" s="41" t="s">
        <v>2267</v>
      </c>
      <c r="P2193" s="41">
        <v>21</v>
      </c>
      <c r="Q2193" s="41">
        <v>10</v>
      </c>
      <c r="S2193" t="s">
        <v>2268</v>
      </c>
      <c r="T2193" t="s">
        <v>2974</v>
      </c>
      <c r="U2193" t="s">
        <v>2269</v>
      </c>
      <c r="V2193" t="s">
        <v>2270</v>
      </c>
      <c r="AH2193" t="s">
        <v>359</v>
      </c>
    </row>
    <row r="2194" spans="1:34" ht="15.75">
      <c r="A2194" s="29">
        <f t="shared" si="34"/>
        <v>15</v>
      </c>
      <c r="B2194" s="2">
        <v>445</v>
      </c>
      <c r="C2194" s="2">
        <v>8</v>
      </c>
      <c r="D2194" s="2">
        <v>1817</v>
      </c>
      <c r="E2194">
        <v>8323</v>
      </c>
      <c r="H2194" t="s">
        <v>1540</v>
      </c>
      <c r="I2194" s="2">
        <v>15</v>
      </c>
      <c r="J2194" s="2">
        <v>0</v>
      </c>
      <c r="K2194" s="8" t="s">
        <v>865</v>
      </c>
      <c r="L2194" s="43" t="s">
        <v>5841</v>
      </c>
      <c r="P2194" s="41">
        <v>13</v>
      </c>
      <c r="Q2194" s="41">
        <v>3</v>
      </c>
      <c r="R2194" s="41" t="s">
        <v>868</v>
      </c>
      <c r="S2194" t="s">
        <v>884</v>
      </c>
      <c r="AH2194" t="s">
        <v>359</v>
      </c>
    </row>
    <row r="2195" spans="1:34" ht="15.75">
      <c r="A2195" s="29">
        <f t="shared" si="34"/>
        <v>115</v>
      </c>
      <c r="B2195" s="2">
        <v>445</v>
      </c>
      <c r="C2195" s="2">
        <v>8</v>
      </c>
      <c r="D2195" s="2">
        <v>1817</v>
      </c>
      <c r="E2195">
        <v>8324</v>
      </c>
      <c r="H2195" t="s">
        <v>1541</v>
      </c>
      <c r="I2195" s="2">
        <v>115</v>
      </c>
      <c r="J2195" s="2">
        <v>0</v>
      </c>
      <c r="K2195" s="8" t="s">
        <v>865</v>
      </c>
      <c r="L2195" s="43" t="s">
        <v>2271</v>
      </c>
      <c r="P2195" s="41">
        <v>9</v>
      </c>
      <c r="Q2195" s="41">
        <v>11</v>
      </c>
      <c r="R2195" s="41">
        <v>62</v>
      </c>
      <c r="S2195" t="s">
        <v>3321</v>
      </c>
      <c r="AH2195" t="s">
        <v>359</v>
      </c>
    </row>
    <row r="2196" spans="1:34" ht="15.75">
      <c r="A2196" s="29">
        <f t="shared" si="34"/>
        <v>1555</v>
      </c>
      <c r="B2196" s="2">
        <v>445</v>
      </c>
      <c r="C2196" s="2">
        <v>8</v>
      </c>
      <c r="D2196" s="2">
        <v>1817</v>
      </c>
      <c r="E2196">
        <v>8325</v>
      </c>
      <c r="H2196" t="s">
        <v>1541</v>
      </c>
      <c r="I2196" s="2">
        <v>1555</v>
      </c>
      <c r="J2196" s="2">
        <v>0</v>
      </c>
      <c r="K2196" s="8" t="s">
        <v>865</v>
      </c>
      <c r="L2196" s="43" t="s">
        <v>2272</v>
      </c>
      <c r="P2196" s="41">
        <v>14</v>
      </c>
      <c r="Q2196" s="41">
        <v>2</v>
      </c>
      <c r="R2196" s="41">
        <v>63</v>
      </c>
      <c r="S2196" t="s">
        <v>3321</v>
      </c>
      <c r="AH2196" t="s">
        <v>359</v>
      </c>
    </row>
    <row r="2197" spans="1:34" ht="15.75">
      <c r="A2197" s="29">
        <f t="shared" si="34"/>
        <v>150</v>
      </c>
      <c r="B2197" s="2">
        <v>445</v>
      </c>
      <c r="C2197" s="2">
        <v>8</v>
      </c>
      <c r="D2197" s="2">
        <v>1817</v>
      </c>
      <c r="E2197">
        <v>8326</v>
      </c>
      <c r="H2197" t="s">
        <v>1541</v>
      </c>
      <c r="I2197" s="2">
        <v>150</v>
      </c>
      <c r="J2197" s="2">
        <v>0</v>
      </c>
      <c r="K2197" s="8" t="s">
        <v>865</v>
      </c>
      <c r="L2197" s="43" t="s">
        <v>2272</v>
      </c>
      <c r="P2197" s="41">
        <v>17</v>
      </c>
      <c r="Q2197" s="41">
        <v>9</v>
      </c>
      <c r="R2197" s="41">
        <v>24</v>
      </c>
      <c r="S2197" t="s">
        <v>3343</v>
      </c>
      <c r="AH2197" t="s">
        <v>359</v>
      </c>
    </row>
    <row r="2198" spans="1:34" ht="15.75">
      <c r="A2198" s="29">
        <f t="shared" si="34"/>
        <v>69699</v>
      </c>
      <c r="B2198" s="2">
        <v>445</v>
      </c>
      <c r="C2198" s="2">
        <v>8</v>
      </c>
      <c r="D2198" s="2">
        <v>1817</v>
      </c>
      <c r="E2198">
        <v>8327</v>
      </c>
      <c r="H2198" t="s">
        <v>1540</v>
      </c>
      <c r="I2198" s="2">
        <f>1410+1000+6569</f>
        <v>8979</v>
      </c>
      <c r="J2198" s="2">
        <v>9200</v>
      </c>
      <c r="K2198" s="8" t="s">
        <v>865</v>
      </c>
      <c r="L2198" s="43" t="s">
        <v>2273</v>
      </c>
      <c r="M2198" s="41" t="s">
        <v>2274</v>
      </c>
      <c r="N2198" s="41" t="s">
        <v>1555</v>
      </c>
      <c r="O2198" s="41" t="s">
        <v>2275</v>
      </c>
      <c r="P2198" s="41">
        <v>25</v>
      </c>
      <c r="Q2198" s="41">
        <v>4</v>
      </c>
      <c r="R2198" s="41">
        <v>50</v>
      </c>
      <c r="S2198" t="s">
        <v>2276</v>
      </c>
      <c r="T2198" t="s">
        <v>2277</v>
      </c>
      <c r="V2198" t="s">
        <v>3911</v>
      </c>
      <c r="X2198">
        <v>0.33</v>
      </c>
      <c r="Y2198" t="s">
        <v>2278</v>
      </c>
      <c r="AA2198" t="s">
        <v>2279</v>
      </c>
      <c r="AH2198" t="s">
        <v>359</v>
      </c>
    </row>
    <row r="2199" spans="1:34" ht="15.75">
      <c r="A2199" s="29">
        <f t="shared" si="34"/>
        <v>2529</v>
      </c>
      <c r="B2199" s="2">
        <v>445</v>
      </c>
      <c r="C2199" s="2">
        <v>8</v>
      </c>
      <c r="D2199" s="2">
        <v>1817</v>
      </c>
      <c r="E2199">
        <v>8328</v>
      </c>
      <c r="H2199" t="s">
        <v>1541</v>
      </c>
      <c r="I2199" s="2">
        <v>2529</v>
      </c>
      <c r="J2199" s="2">
        <v>0</v>
      </c>
      <c r="K2199" s="8" t="s">
        <v>865</v>
      </c>
      <c r="L2199" s="43" t="s">
        <v>2272</v>
      </c>
      <c r="P2199" s="41">
        <v>11</v>
      </c>
      <c r="Q2199" s="41">
        <v>10</v>
      </c>
      <c r="R2199" s="41">
        <v>68</v>
      </c>
      <c r="S2199" t="s">
        <v>5227</v>
      </c>
      <c r="AH2199" t="s">
        <v>359</v>
      </c>
    </row>
    <row r="2200" spans="1:34" ht="15.75">
      <c r="A2200" s="29">
        <f t="shared" si="34"/>
        <v>800</v>
      </c>
      <c r="B2200" s="2">
        <v>445</v>
      </c>
      <c r="C2200" s="2">
        <v>8</v>
      </c>
      <c r="D2200" s="2">
        <v>1817</v>
      </c>
      <c r="E2200">
        <v>8329</v>
      </c>
      <c r="H2200" t="s">
        <v>1541</v>
      </c>
      <c r="I2200" s="2">
        <v>800</v>
      </c>
      <c r="J2200" s="2">
        <v>0</v>
      </c>
      <c r="K2200" s="8" t="s">
        <v>865</v>
      </c>
      <c r="L2200" s="43" t="s">
        <v>2280</v>
      </c>
      <c r="P2200" s="41">
        <v>3</v>
      </c>
      <c r="Q2200" s="41">
        <v>6</v>
      </c>
      <c r="R2200" s="41">
        <v>59</v>
      </c>
      <c r="S2200" t="s">
        <v>3321</v>
      </c>
      <c r="AH2200" t="s">
        <v>359</v>
      </c>
    </row>
    <row r="2201" spans="1:34" ht="15.75">
      <c r="A2201" s="29">
        <f t="shared" si="34"/>
        <v>8133</v>
      </c>
      <c r="B2201" s="2">
        <v>445</v>
      </c>
      <c r="C2201" s="2">
        <v>8</v>
      </c>
      <c r="D2201" s="2">
        <v>1817</v>
      </c>
      <c r="E2201">
        <v>8330</v>
      </c>
      <c r="H2201" t="s">
        <v>1540</v>
      </c>
      <c r="I2201" s="2">
        <v>8133</v>
      </c>
      <c r="J2201" s="2">
        <v>0</v>
      </c>
      <c r="K2201" s="8" t="s">
        <v>865</v>
      </c>
      <c r="L2201" s="43" t="s">
        <v>1420</v>
      </c>
      <c r="P2201" s="41">
        <v>25</v>
      </c>
      <c r="Q2201" s="41">
        <v>9</v>
      </c>
      <c r="R2201" s="41">
        <v>35</v>
      </c>
      <c r="S2201" t="s">
        <v>3321</v>
      </c>
      <c r="AH2201" t="s">
        <v>359</v>
      </c>
    </row>
    <row r="2202" spans="1:34" ht="15.75">
      <c r="A2202" s="29">
        <f t="shared" si="34"/>
        <v>9343</v>
      </c>
      <c r="B2202" s="2">
        <v>446</v>
      </c>
      <c r="C2202" s="2">
        <v>8</v>
      </c>
      <c r="D2202" s="2">
        <v>1817</v>
      </c>
      <c r="E2202">
        <v>8352</v>
      </c>
      <c r="H2202" t="s">
        <v>1540</v>
      </c>
      <c r="I2202" s="2">
        <f>343+9000</f>
        <v>9343</v>
      </c>
      <c r="J2202" s="2">
        <v>0</v>
      </c>
      <c r="K2202" s="8" t="s">
        <v>865</v>
      </c>
      <c r="L2202" s="43" t="s">
        <v>3685</v>
      </c>
      <c r="P2202" s="41">
        <v>25</v>
      </c>
      <c r="Q2202" s="41">
        <v>1</v>
      </c>
      <c r="R2202" s="41">
        <v>58</v>
      </c>
      <c r="S2202" t="s">
        <v>3321</v>
      </c>
      <c r="AH2202" t="s">
        <v>359</v>
      </c>
    </row>
    <row r="2203" spans="1:34" ht="15.75">
      <c r="A2203" s="29">
        <f t="shared" si="34"/>
        <v>495</v>
      </c>
      <c r="B2203" s="2">
        <v>446</v>
      </c>
      <c r="C2203" s="2">
        <v>8</v>
      </c>
      <c r="D2203" s="2">
        <v>1817</v>
      </c>
      <c r="E2203">
        <v>8353</v>
      </c>
      <c r="H2203" t="s">
        <v>1549</v>
      </c>
      <c r="I2203" s="2">
        <f>217+278</f>
        <v>495</v>
      </c>
      <c r="J2203" s="2">
        <v>0</v>
      </c>
      <c r="K2203" s="8" t="s">
        <v>865</v>
      </c>
      <c r="L2203" s="43" t="s">
        <v>686</v>
      </c>
      <c r="P2203" s="41">
        <v>27</v>
      </c>
      <c r="Q2203" s="41">
        <v>2</v>
      </c>
      <c r="R2203" s="41">
        <v>69</v>
      </c>
      <c r="S2203" t="s">
        <v>3324</v>
      </c>
      <c r="AH2203" t="s">
        <v>359</v>
      </c>
    </row>
    <row r="2204" spans="1:34" ht="15.75">
      <c r="A2204" s="29">
        <f t="shared" si="34"/>
        <v>921</v>
      </c>
      <c r="B2204" s="8">
        <v>446</v>
      </c>
      <c r="C2204" s="2">
        <v>8</v>
      </c>
      <c r="D2204" s="2">
        <v>1817</v>
      </c>
      <c r="E2204">
        <v>8354</v>
      </c>
      <c r="F2204" s="9"/>
      <c r="G2204" s="9"/>
      <c r="H2204" s="9" t="s">
        <v>1540</v>
      </c>
      <c r="I2204" s="8">
        <v>921</v>
      </c>
      <c r="J2204" s="8">
        <v>0</v>
      </c>
      <c r="K2204" s="8" t="s">
        <v>865</v>
      </c>
      <c r="L2204" s="43" t="s">
        <v>2281</v>
      </c>
      <c r="M2204" s="43"/>
      <c r="N2204" s="43"/>
      <c r="O2204" s="43"/>
      <c r="P2204" s="43">
        <v>24</v>
      </c>
      <c r="Q2204" s="43">
        <v>6</v>
      </c>
      <c r="R2204" s="43">
        <v>64</v>
      </c>
      <c r="S2204" t="s">
        <v>3321</v>
      </c>
      <c r="T2204" s="9"/>
      <c r="U2204" s="9"/>
      <c r="V2204" s="9"/>
      <c r="W2204" s="9"/>
      <c r="AH2204" t="s">
        <v>359</v>
      </c>
    </row>
    <row r="2205" spans="1:34" ht="15.75">
      <c r="A2205" s="29">
        <f t="shared" si="34"/>
        <v>28305</v>
      </c>
      <c r="B2205" s="8">
        <v>446</v>
      </c>
      <c r="C2205" s="2">
        <v>8</v>
      </c>
      <c r="D2205" s="2">
        <v>1817</v>
      </c>
      <c r="E2205">
        <v>8355</v>
      </c>
      <c r="F2205" s="9"/>
      <c r="G2205" s="9"/>
      <c r="H2205" s="9" t="s">
        <v>1541</v>
      </c>
      <c r="I2205" s="8">
        <v>28305</v>
      </c>
      <c r="J2205" s="8">
        <v>0</v>
      </c>
      <c r="K2205" s="8" t="s">
        <v>865</v>
      </c>
      <c r="L2205" s="43" t="s">
        <v>4245</v>
      </c>
      <c r="M2205" s="43" t="s">
        <v>2282</v>
      </c>
      <c r="N2205" s="43" t="s">
        <v>3453</v>
      </c>
      <c r="O2205" s="43" t="s">
        <v>2283</v>
      </c>
      <c r="P2205" s="43">
        <v>1</v>
      </c>
      <c r="Q2205" s="43">
        <v>2</v>
      </c>
      <c r="R2205" s="43">
        <v>71</v>
      </c>
      <c r="S2205" s="9" t="s">
        <v>2284</v>
      </c>
      <c r="T2205" s="9" t="s">
        <v>2285</v>
      </c>
      <c r="V2205" s="9" t="s">
        <v>3870</v>
      </c>
      <c r="W2205" s="9"/>
      <c r="AH2205" t="s">
        <v>359</v>
      </c>
    </row>
    <row r="2206" spans="1:34" ht="15.75">
      <c r="A2206" s="29">
        <f t="shared" si="34"/>
        <v>5938</v>
      </c>
      <c r="B2206" s="8">
        <v>446</v>
      </c>
      <c r="C2206" s="2">
        <v>8</v>
      </c>
      <c r="D2206" s="2">
        <v>1817</v>
      </c>
      <c r="E2206">
        <v>8357</v>
      </c>
      <c r="F2206" s="9"/>
      <c r="G2206" s="9"/>
      <c r="H2206" s="9" t="s">
        <v>1540</v>
      </c>
      <c r="I2206" s="8">
        <v>5938</v>
      </c>
      <c r="J2206" s="8">
        <v>0</v>
      </c>
      <c r="K2206" s="8" t="s">
        <v>865</v>
      </c>
      <c r="L2206" s="43" t="s">
        <v>1440</v>
      </c>
      <c r="M2206" s="43"/>
      <c r="N2206" s="43"/>
      <c r="O2206" s="43"/>
      <c r="P2206" s="43">
        <v>15</v>
      </c>
      <c r="Q2206" s="43">
        <v>6</v>
      </c>
      <c r="R2206" s="43">
        <v>83</v>
      </c>
      <c r="S2206" s="9" t="s">
        <v>3324</v>
      </c>
      <c r="T2206" s="9"/>
      <c r="U2206" s="9"/>
      <c r="V2206" s="9"/>
      <c r="W2206" s="9"/>
      <c r="AH2206" t="s">
        <v>359</v>
      </c>
    </row>
    <row r="2207" spans="1:34" ht="15.75">
      <c r="A2207" s="29">
        <f t="shared" si="34"/>
        <v>1580</v>
      </c>
      <c r="B2207" s="8">
        <v>446</v>
      </c>
      <c r="C2207" s="2">
        <v>8</v>
      </c>
      <c r="D2207" s="2">
        <v>1817</v>
      </c>
      <c r="E2207">
        <v>8358</v>
      </c>
      <c r="F2207" s="9"/>
      <c r="G2207" s="9"/>
      <c r="H2207" s="9" t="s">
        <v>1540</v>
      </c>
      <c r="I2207" s="8">
        <v>1580</v>
      </c>
      <c r="J2207" s="8">
        <v>0</v>
      </c>
      <c r="K2207" s="8" t="s">
        <v>865</v>
      </c>
      <c r="L2207" s="43" t="s">
        <v>1440</v>
      </c>
      <c r="M2207" s="43"/>
      <c r="N2207" s="43"/>
      <c r="O2207" s="43"/>
      <c r="P2207" s="43">
        <v>30</v>
      </c>
      <c r="Q2207" s="43">
        <v>5</v>
      </c>
      <c r="R2207" s="43">
        <v>60</v>
      </c>
      <c r="S2207" t="s">
        <v>3321</v>
      </c>
      <c r="T2207" s="9"/>
      <c r="U2207" s="9"/>
      <c r="V2207" s="9"/>
      <c r="W2207" s="9"/>
      <c r="AH2207" t="s">
        <v>359</v>
      </c>
    </row>
    <row r="2208" spans="1:34" ht="15.75">
      <c r="A2208" s="29">
        <f t="shared" si="34"/>
        <v>23065</v>
      </c>
      <c r="B2208" s="8">
        <v>446</v>
      </c>
      <c r="C2208" s="2">
        <v>8</v>
      </c>
      <c r="D2208" s="2">
        <v>1817</v>
      </c>
      <c r="E2208">
        <v>8359</v>
      </c>
      <c r="F2208" s="9"/>
      <c r="G2208" s="9"/>
      <c r="H2208" s="9" t="s">
        <v>1541</v>
      </c>
      <c r="I2208" s="8">
        <f>5065+18000</f>
        <v>23065</v>
      </c>
      <c r="J2208" s="8">
        <v>0</v>
      </c>
      <c r="K2208" s="8" t="s">
        <v>865</v>
      </c>
      <c r="L2208" s="43" t="s">
        <v>5410</v>
      </c>
      <c r="M2208" s="43" t="s">
        <v>5411</v>
      </c>
      <c r="N2208" s="43"/>
      <c r="O2208" s="43" t="s">
        <v>5412</v>
      </c>
      <c r="P2208" s="43">
        <v>21</v>
      </c>
      <c r="Q2208" s="43">
        <v>10</v>
      </c>
      <c r="R2208" s="43">
        <v>59</v>
      </c>
      <c r="S2208" s="9" t="s">
        <v>5413</v>
      </c>
      <c r="T2208" s="9" t="s">
        <v>5414</v>
      </c>
      <c r="V2208" s="9" t="s">
        <v>3816</v>
      </c>
      <c r="W2208" s="9"/>
      <c r="AH2208" t="s">
        <v>359</v>
      </c>
    </row>
    <row r="2209" spans="1:34" ht="15.75">
      <c r="A2209" s="29">
        <f t="shared" si="34"/>
        <v>36305</v>
      </c>
      <c r="B2209" s="8">
        <v>446</v>
      </c>
      <c r="C2209" s="2">
        <v>8</v>
      </c>
      <c r="D2209" s="2">
        <v>1817</v>
      </c>
      <c r="E2209">
        <v>8360</v>
      </c>
      <c r="F2209" s="9"/>
      <c r="G2209" s="9"/>
      <c r="H2209" s="9" t="s">
        <v>1540</v>
      </c>
      <c r="I2209" s="8">
        <f>4305+1200+800</f>
        <v>6305</v>
      </c>
      <c r="J2209" s="8">
        <v>1500</v>
      </c>
      <c r="K2209" s="8" t="s">
        <v>865</v>
      </c>
      <c r="L2209" s="43" t="s">
        <v>5415</v>
      </c>
      <c r="M2209" s="43" t="s">
        <v>5416</v>
      </c>
      <c r="N2209" s="43" t="s">
        <v>1555</v>
      </c>
      <c r="O2209" s="43" t="s">
        <v>5417</v>
      </c>
      <c r="P2209" s="43">
        <v>4</v>
      </c>
      <c r="Q2209" s="43">
        <v>2</v>
      </c>
      <c r="R2209" s="43">
        <v>52</v>
      </c>
      <c r="S2209" s="9" t="s">
        <v>5418</v>
      </c>
      <c r="T2209" s="9" t="s">
        <v>4649</v>
      </c>
      <c r="U2209" s="9"/>
      <c r="V2209" s="9" t="s">
        <v>3152</v>
      </c>
      <c r="W2209" s="9"/>
      <c r="X2209">
        <v>1</v>
      </c>
      <c r="Y2209" t="s">
        <v>5419</v>
      </c>
      <c r="AH2209" t="s">
        <v>359</v>
      </c>
    </row>
    <row r="2210" spans="1:34" ht="15.75">
      <c r="A2210" s="29">
        <f t="shared" si="34"/>
        <v>478</v>
      </c>
      <c r="B2210" s="8">
        <v>446</v>
      </c>
      <c r="C2210" s="2">
        <v>8</v>
      </c>
      <c r="D2210" s="2">
        <v>1817</v>
      </c>
      <c r="E2210">
        <v>8361</v>
      </c>
      <c r="F2210" s="9"/>
      <c r="G2210" s="9"/>
      <c r="H2210" s="9" t="s">
        <v>1541</v>
      </c>
      <c r="I2210" s="8">
        <v>478</v>
      </c>
      <c r="J2210" s="8">
        <v>0</v>
      </c>
      <c r="K2210" s="8" t="s">
        <v>865</v>
      </c>
      <c r="L2210" s="43" t="s">
        <v>5420</v>
      </c>
      <c r="M2210" s="43"/>
      <c r="N2210" s="43"/>
      <c r="O2210" s="43"/>
      <c r="P2210" s="43">
        <v>11</v>
      </c>
      <c r="Q2210" s="43">
        <v>6</v>
      </c>
      <c r="R2210" s="43">
        <v>77</v>
      </c>
      <c r="S2210" s="9" t="s">
        <v>3329</v>
      </c>
      <c r="T2210" s="9"/>
      <c r="U2210" s="9"/>
      <c r="V2210" s="9"/>
      <c r="W2210" s="9"/>
      <c r="AH2210" t="s">
        <v>359</v>
      </c>
    </row>
    <row r="2211" spans="1:34" ht="15.75">
      <c r="A2211" s="29">
        <f t="shared" si="34"/>
        <v>71841</v>
      </c>
      <c r="B2211" s="2">
        <v>446</v>
      </c>
      <c r="C2211" s="2">
        <v>8</v>
      </c>
      <c r="D2211" s="2">
        <v>1817</v>
      </c>
      <c r="E2211">
        <v>8362</v>
      </c>
      <c r="H2211" t="s">
        <v>1541</v>
      </c>
      <c r="I2211" s="2">
        <v>11841</v>
      </c>
      <c r="J2211" s="2">
        <v>6000</v>
      </c>
      <c r="K2211" s="8" t="s">
        <v>865</v>
      </c>
      <c r="L2211" s="43" t="s">
        <v>5421</v>
      </c>
      <c r="M2211" s="41" t="s">
        <v>3153</v>
      </c>
      <c r="N2211" s="41" t="s">
        <v>1555</v>
      </c>
      <c r="O2211" s="41" t="s">
        <v>5422</v>
      </c>
      <c r="P2211" s="41">
        <v>20</v>
      </c>
      <c r="Q2211" s="41">
        <v>6</v>
      </c>
      <c r="R2211" s="41">
        <v>84</v>
      </c>
      <c r="S2211" t="s">
        <v>5423</v>
      </c>
      <c r="T2211" t="s">
        <v>5424</v>
      </c>
      <c r="V2211" t="s">
        <v>5425</v>
      </c>
      <c r="X2211">
        <v>0.5</v>
      </c>
      <c r="Y2211" t="s">
        <v>5422</v>
      </c>
      <c r="AH2211" t="s">
        <v>359</v>
      </c>
    </row>
    <row r="2212" spans="1:34" ht="15.75">
      <c r="A2212" s="29">
        <f t="shared" si="34"/>
        <v>668</v>
      </c>
      <c r="B2212" s="2">
        <v>446</v>
      </c>
      <c r="C2212" s="2">
        <v>8</v>
      </c>
      <c r="D2212" s="2">
        <v>1817</v>
      </c>
      <c r="E2212">
        <v>8363</v>
      </c>
      <c r="H2212" t="s">
        <v>850</v>
      </c>
      <c r="I2212" s="2">
        <v>668</v>
      </c>
      <c r="J2212" s="2">
        <v>0</v>
      </c>
      <c r="K2212" s="8" t="s">
        <v>865</v>
      </c>
      <c r="L2212" s="43" t="s">
        <v>5980</v>
      </c>
      <c r="P2212" s="41">
        <v>25</v>
      </c>
      <c r="Q2212" s="41">
        <v>2</v>
      </c>
      <c r="R2212" s="41" t="s">
        <v>868</v>
      </c>
      <c r="S2212" t="s">
        <v>3343</v>
      </c>
      <c r="AH2212" t="s">
        <v>359</v>
      </c>
    </row>
    <row r="2213" spans="1:34" ht="15.75">
      <c r="A2213" s="29">
        <f t="shared" si="34"/>
        <v>99</v>
      </c>
      <c r="B2213" s="2">
        <v>446</v>
      </c>
      <c r="C2213" s="2">
        <v>8</v>
      </c>
      <c r="D2213" s="2">
        <v>1817</v>
      </c>
      <c r="E2213">
        <v>8364</v>
      </c>
      <c r="H2213" t="s">
        <v>1541</v>
      </c>
      <c r="I2213" s="2">
        <v>99</v>
      </c>
      <c r="J2213" s="2">
        <v>0</v>
      </c>
      <c r="K2213" s="8" t="s">
        <v>865</v>
      </c>
      <c r="L2213" s="43" t="s">
        <v>5980</v>
      </c>
      <c r="P2213" s="41">
        <v>2</v>
      </c>
      <c r="Q2213" s="41">
        <v>8</v>
      </c>
      <c r="R2213" s="41" t="s">
        <v>868</v>
      </c>
      <c r="S2213" t="s">
        <v>3321</v>
      </c>
      <c r="AH2213" t="s">
        <v>359</v>
      </c>
    </row>
    <row r="2214" spans="1:34" ht="15.75">
      <c r="A2214" s="29">
        <f t="shared" si="34"/>
        <v>485</v>
      </c>
      <c r="B2214" s="2">
        <v>446</v>
      </c>
      <c r="C2214" s="2">
        <v>8</v>
      </c>
      <c r="D2214" s="2">
        <v>1817</v>
      </c>
      <c r="E2214">
        <v>8365</v>
      </c>
      <c r="H2214" t="s">
        <v>1540</v>
      </c>
      <c r="I2214" s="2">
        <v>485</v>
      </c>
      <c r="J2214" s="2">
        <v>0</v>
      </c>
      <c r="K2214" s="8" t="s">
        <v>865</v>
      </c>
      <c r="AH2214" t="s">
        <v>359</v>
      </c>
    </row>
    <row r="2215" spans="1:34" ht="15.75">
      <c r="A2215" s="29">
        <f t="shared" si="34"/>
        <v>69</v>
      </c>
      <c r="B2215" s="2">
        <v>447</v>
      </c>
      <c r="C2215" s="2">
        <v>8</v>
      </c>
      <c r="D2215" s="2">
        <v>1817</v>
      </c>
      <c r="E2215">
        <v>8388</v>
      </c>
      <c r="H2215" t="s">
        <v>1541</v>
      </c>
      <c r="I2215" s="2">
        <v>69</v>
      </c>
      <c r="J2215" s="2">
        <v>0</v>
      </c>
      <c r="K2215" s="8" t="s">
        <v>865</v>
      </c>
      <c r="L2215" s="43" t="s">
        <v>5426</v>
      </c>
      <c r="P2215" s="41">
        <v>17</v>
      </c>
      <c r="Q2215" s="41">
        <v>12</v>
      </c>
      <c r="R2215" s="41">
        <v>50</v>
      </c>
      <c r="S2215" t="s">
        <v>3321</v>
      </c>
      <c r="AH2215" t="s">
        <v>359</v>
      </c>
    </row>
    <row r="2216" spans="1:34" ht="15.75">
      <c r="A2216" s="29">
        <f t="shared" si="34"/>
        <v>100</v>
      </c>
      <c r="B2216" s="2">
        <v>447</v>
      </c>
      <c r="C2216" s="2">
        <v>8</v>
      </c>
      <c r="D2216" s="2">
        <v>1817</v>
      </c>
      <c r="E2216">
        <v>8389</v>
      </c>
      <c r="H2216" t="s">
        <v>1540</v>
      </c>
      <c r="I2216" s="2">
        <v>100</v>
      </c>
      <c r="J2216" s="2">
        <v>0</v>
      </c>
      <c r="K2216" s="8" t="s">
        <v>865</v>
      </c>
      <c r="L2216" s="43" t="s">
        <v>5983</v>
      </c>
      <c r="P2216" s="41">
        <v>22</v>
      </c>
      <c r="Q2216" s="41">
        <v>8</v>
      </c>
      <c r="R2216" s="41">
        <v>73</v>
      </c>
      <c r="S2216" t="s">
        <v>3321</v>
      </c>
      <c r="AH2216" t="s">
        <v>359</v>
      </c>
    </row>
    <row r="2217" spans="1:34" ht="15.75">
      <c r="A2217" s="29">
        <f t="shared" si="34"/>
        <v>5990</v>
      </c>
      <c r="B2217" s="2">
        <v>447</v>
      </c>
      <c r="C2217" s="2">
        <v>8</v>
      </c>
      <c r="D2217" s="2">
        <v>1817</v>
      </c>
      <c r="E2217">
        <v>8390</v>
      </c>
      <c r="H2217" t="s">
        <v>1541</v>
      </c>
      <c r="I2217" s="2">
        <f>3701+2289</f>
        <v>5990</v>
      </c>
      <c r="J2217" s="2">
        <v>0</v>
      </c>
      <c r="K2217" s="8" t="s">
        <v>865</v>
      </c>
      <c r="L2217" s="43" t="s">
        <v>1480</v>
      </c>
      <c r="P2217" s="41">
        <v>18</v>
      </c>
      <c r="Q2217" s="41">
        <v>5</v>
      </c>
      <c r="R2217" s="41">
        <v>28</v>
      </c>
      <c r="S2217" t="s">
        <v>3321</v>
      </c>
      <c r="AH2217" t="s">
        <v>359</v>
      </c>
    </row>
    <row r="2218" spans="1:34" ht="15.75">
      <c r="A2218" s="29">
        <f t="shared" si="34"/>
        <v>59</v>
      </c>
      <c r="B2218" s="2">
        <v>447</v>
      </c>
      <c r="C2218" s="2">
        <v>8</v>
      </c>
      <c r="D2218" s="2">
        <v>1817</v>
      </c>
      <c r="E2218">
        <v>8392</v>
      </c>
      <c r="H2218" t="s">
        <v>1540</v>
      </c>
      <c r="I2218" s="2">
        <v>59</v>
      </c>
      <c r="J2218" s="2">
        <v>0</v>
      </c>
      <c r="K2218" s="8" t="s">
        <v>865</v>
      </c>
      <c r="L2218" s="43" t="s">
        <v>4858</v>
      </c>
      <c r="P2218" s="41">
        <v>20</v>
      </c>
      <c r="Q2218" s="41">
        <v>12</v>
      </c>
      <c r="R2218" s="41">
        <v>65</v>
      </c>
      <c r="S2218" t="s">
        <v>3321</v>
      </c>
      <c r="AH2218" t="s">
        <v>359</v>
      </c>
    </row>
    <row r="2219" spans="1:34" ht="15.75">
      <c r="A2219" s="29">
        <f t="shared" si="34"/>
        <v>7647</v>
      </c>
      <c r="B2219" s="2">
        <v>447</v>
      </c>
      <c r="C2219" s="2">
        <v>8</v>
      </c>
      <c r="D2219" s="2">
        <v>1817</v>
      </c>
      <c r="E2219">
        <v>8393</v>
      </c>
      <c r="H2219" t="s">
        <v>1540</v>
      </c>
      <c r="I2219" s="2">
        <v>7647</v>
      </c>
      <c r="J2219" s="2">
        <v>0</v>
      </c>
      <c r="K2219" s="8" t="s">
        <v>865</v>
      </c>
      <c r="L2219" s="43" t="s">
        <v>4859</v>
      </c>
      <c r="P2219" s="41">
        <v>6</v>
      </c>
      <c r="Q2219" s="41">
        <v>12</v>
      </c>
      <c r="R2219" s="41" t="s">
        <v>868</v>
      </c>
      <c r="S2219" t="s">
        <v>3343</v>
      </c>
      <c r="AH2219" t="s">
        <v>359</v>
      </c>
    </row>
    <row r="2220" spans="1:34" ht="15.75">
      <c r="A2220" s="29">
        <f t="shared" si="34"/>
        <v>297</v>
      </c>
      <c r="B2220" s="2">
        <v>447</v>
      </c>
      <c r="C2220" s="2">
        <v>8</v>
      </c>
      <c r="D2220" s="2">
        <v>1817</v>
      </c>
      <c r="E2220">
        <v>8394</v>
      </c>
      <c r="H2220" t="s">
        <v>1541</v>
      </c>
      <c r="I2220" s="2">
        <v>297</v>
      </c>
      <c r="J2220" s="2">
        <v>0</v>
      </c>
      <c r="K2220" s="8" t="s">
        <v>865</v>
      </c>
      <c r="L2220" s="43" t="s">
        <v>1482</v>
      </c>
      <c r="P2220" s="41">
        <v>16</v>
      </c>
      <c r="Q2220" s="41">
        <v>5</v>
      </c>
      <c r="R2220" s="41">
        <v>81</v>
      </c>
      <c r="S2220" t="s">
        <v>3321</v>
      </c>
      <c r="AH2220" t="s">
        <v>359</v>
      </c>
    </row>
    <row r="2221" spans="1:34" ht="15.75">
      <c r="A2221" s="29">
        <f t="shared" si="34"/>
        <v>80</v>
      </c>
      <c r="B2221" s="2">
        <v>447</v>
      </c>
      <c r="C2221" s="2">
        <v>8</v>
      </c>
      <c r="D2221" s="2">
        <v>1817</v>
      </c>
      <c r="E2221">
        <v>8396</v>
      </c>
      <c r="H2221" t="s">
        <v>1541</v>
      </c>
      <c r="I2221" s="2">
        <v>80</v>
      </c>
      <c r="J2221" s="2">
        <v>0</v>
      </c>
      <c r="K2221" s="8" t="s">
        <v>865</v>
      </c>
      <c r="L2221" s="43" t="s">
        <v>1482</v>
      </c>
      <c r="P2221" s="41">
        <v>13</v>
      </c>
      <c r="Q2221" s="41">
        <v>10</v>
      </c>
      <c r="R2221" s="41">
        <v>81</v>
      </c>
      <c r="S2221" t="s">
        <v>3329</v>
      </c>
      <c r="AH2221" t="s">
        <v>359</v>
      </c>
    </row>
    <row r="2222" spans="1:34" ht="15.75">
      <c r="A2222" s="29">
        <f t="shared" si="34"/>
        <v>11320</v>
      </c>
      <c r="B2222" s="2">
        <v>447</v>
      </c>
      <c r="C2222" s="2">
        <v>8</v>
      </c>
      <c r="D2222" s="2">
        <v>1817</v>
      </c>
      <c r="E2222">
        <v>8397</v>
      </c>
      <c r="H2222" t="s">
        <v>1540</v>
      </c>
      <c r="I2222" s="2">
        <v>0</v>
      </c>
      <c r="J2222" s="2">
        <v>566</v>
      </c>
      <c r="K2222" s="8" t="s">
        <v>865</v>
      </c>
      <c r="L2222" s="43" t="s">
        <v>1482</v>
      </c>
      <c r="P2222" s="41">
        <v>31</v>
      </c>
      <c r="Q2222" s="41">
        <v>10</v>
      </c>
      <c r="R2222" s="41" t="s">
        <v>868</v>
      </c>
      <c r="S2222" t="s">
        <v>3321</v>
      </c>
      <c r="X2222">
        <v>1</v>
      </c>
      <c r="Y2222" t="s">
        <v>5431</v>
      </c>
      <c r="AH2222" t="s">
        <v>359</v>
      </c>
    </row>
    <row r="2223" spans="1:34" ht="15.75">
      <c r="A2223" s="29">
        <f t="shared" si="34"/>
        <v>104</v>
      </c>
      <c r="B2223" s="2">
        <v>447</v>
      </c>
      <c r="C2223" s="2">
        <v>8</v>
      </c>
      <c r="D2223" s="2">
        <v>1817</v>
      </c>
      <c r="E2223">
        <v>8398</v>
      </c>
      <c r="H2223" t="s">
        <v>1541</v>
      </c>
      <c r="I2223" s="2">
        <v>104</v>
      </c>
      <c r="J2223" s="2">
        <v>0</v>
      </c>
      <c r="K2223" s="8" t="s">
        <v>865</v>
      </c>
      <c r="L2223" s="43" t="s">
        <v>1447</v>
      </c>
      <c r="P2223" s="41">
        <v>28</v>
      </c>
      <c r="Q2223" s="41">
        <v>6</v>
      </c>
      <c r="R2223" s="41">
        <v>44</v>
      </c>
      <c r="S2223" t="s">
        <v>3343</v>
      </c>
      <c r="AH2223" t="s">
        <v>359</v>
      </c>
    </row>
    <row r="2224" spans="1:34" ht="15.75">
      <c r="A2224" s="29">
        <f t="shared" si="34"/>
        <v>125</v>
      </c>
      <c r="B2224" s="2">
        <v>447</v>
      </c>
      <c r="C2224" s="2">
        <v>8</v>
      </c>
      <c r="D2224" s="2">
        <v>1817</v>
      </c>
      <c r="E2224">
        <v>8399</v>
      </c>
      <c r="H2224" t="s">
        <v>1541</v>
      </c>
      <c r="I2224" s="2">
        <v>125</v>
      </c>
      <c r="J2224" s="2">
        <v>0</v>
      </c>
      <c r="K2224" s="8" t="s">
        <v>865</v>
      </c>
      <c r="L2224" s="43" t="s">
        <v>1447</v>
      </c>
      <c r="P2224" s="41">
        <v>3</v>
      </c>
      <c r="Q2224" s="41">
        <v>10</v>
      </c>
      <c r="R2224" s="41">
        <v>79</v>
      </c>
      <c r="S2224" t="s">
        <v>3329</v>
      </c>
      <c r="AH2224" t="s">
        <v>359</v>
      </c>
    </row>
    <row r="2225" spans="1:34" ht="15.75">
      <c r="A2225" s="29">
        <f t="shared" si="34"/>
        <v>116</v>
      </c>
      <c r="B2225" s="2">
        <v>447</v>
      </c>
      <c r="C2225" s="2">
        <v>8</v>
      </c>
      <c r="D2225" s="2">
        <v>1817</v>
      </c>
      <c r="E2225">
        <v>8400</v>
      </c>
      <c r="H2225" t="s">
        <v>1541</v>
      </c>
      <c r="I2225" s="2">
        <v>116</v>
      </c>
      <c r="J2225" s="2">
        <v>0</v>
      </c>
      <c r="K2225" s="8" t="s">
        <v>865</v>
      </c>
      <c r="L2225" s="43" t="s">
        <v>1448</v>
      </c>
      <c r="P2225" s="41">
        <v>6</v>
      </c>
      <c r="Q2225" s="41">
        <v>4</v>
      </c>
      <c r="R2225" s="41">
        <v>31</v>
      </c>
      <c r="S2225" t="s">
        <v>3343</v>
      </c>
      <c r="AH2225" t="s">
        <v>359</v>
      </c>
    </row>
    <row r="2226" spans="1:34" ht="15.75">
      <c r="A2226" s="29">
        <f t="shared" si="34"/>
        <v>3266</v>
      </c>
      <c r="B2226" s="2">
        <v>447</v>
      </c>
      <c r="C2226" s="2">
        <v>8</v>
      </c>
      <c r="D2226" s="2">
        <v>1817</v>
      </c>
      <c r="E2226">
        <v>8401</v>
      </c>
      <c r="H2226" t="s">
        <v>1540</v>
      </c>
      <c r="I2226" s="2">
        <v>3266</v>
      </c>
      <c r="J2226" s="2">
        <v>0</v>
      </c>
      <c r="K2226" s="8" t="s">
        <v>865</v>
      </c>
      <c r="L2226" s="43" t="s">
        <v>1449</v>
      </c>
      <c r="P2226" s="41">
        <v>3</v>
      </c>
      <c r="Q2226" s="41">
        <v>1</v>
      </c>
      <c r="R2226" s="41">
        <v>38</v>
      </c>
      <c r="S2226" t="s">
        <v>3321</v>
      </c>
      <c r="AH2226" t="s">
        <v>359</v>
      </c>
    </row>
    <row r="2227" spans="1:34" ht="15.75">
      <c r="A2227" s="29">
        <f t="shared" si="34"/>
        <v>1799</v>
      </c>
      <c r="B2227" s="2">
        <v>447</v>
      </c>
      <c r="C2227" s="2">
        <v>8</v>
      </c>
      <c r="D2227" s="2">
        <v>1817</v>
      </c>
      <c r="E2227">
        <v>8402</v>
      </c>
      <c r="H2227" t="s">
        <v>1540</v>
      </c>
      <c r="I2227" s="2">
        <v>1799</v>
      </c>
      <c r="J2227" s="2">
        <v>0</v>
      </c>
      <c r="K2227" s="8" t="s">
        <v>865</v>
      </c>
      <c r="L2227" s="43" t="s">
        <v>5432</v>
      </c>
      <c r="P2227" s="41">
        <v>22</v>
      </c>
      <c r="Q2227" s="41">
        <v>8</v>
      </c>
      <c r="R2227" s="41">
        <v>50</v>
      </c>
      <c r="S2227" t="s">
        <v>3321</v>
      </c>
      <c r="AH2227" t="s">
        <v>359</v>
      </c>
    </row>
    <row r="2228" spans="1:34" ht="15.75">
      <c r="A2228" s="29">
        <f t="shared" si="34"/>
        <v>71506</v>
      </c>
      <c r="B2228" s="2">
        <v>447</v>
      </c>
      <c r="C2228" s="2">
        <v>8</v>
      </c>
      <c r="D2228" s="2">
        <v>1817</v>
      </c>
      <c r="E2228">
        <v>8403</v>
      </c>
      <c r="H2228" t="s">
        <v>1541</v>
      </c>
      <c r="I2228" s="2">
        <f>56506+15000</f>
        <v>71506</v>
      </c>
      <c r="J2228" s="2">
        <v>0</v>
      </c>
      <c r="K2228" s="8" t="s">
        <v>865</v>
      </c>
      <c r="L2228" s="43" t="s">
        <v>5433</v>
      </c>
      <c r="M2228" s="41" t="s">
        <v>5434</v>
      </c>
      <c r="O2228" s="41" t="s">
        <v>5435</v>
      </c>
      <c r="P2228" s="41">
        <v>7</v>
      </c>
      <c r="Q2228" s="41">
        <v>12</v>
      </c>
      <c r="R2228" s="41">
        <v>29</v>
      </c>
      <c r="S2228" t="s">
        <v>5436</v>
      </c>
      <c r="T2228" t="s">
        <v>5437</v>
      </c>
      <c r="V2228" t="s">
        <v>4985</v>
      </c>
      <c r="AH2228" t="s">
        <v>359</v>
      </c>
    </row>
    <row r="2229" spans="1:34" ht="15.75">
      <c r="A2229" s="29">
        <f t="shared" si="34"/>
        <v>25</v>
      </c>
      <c r="B2229" s="2">
        <v>447</v>
      </c>
      <c r="C2229" s="2">
        <v>8</v>
      </c>
      <c r="D2229" s="2">
        <v>1817</v>
      </c>
      <c r="E2229">
        <v>8404</v>
      </c>
      <c r="H2229" t="s">
        <v>1541</v>
      </c>
      <c r="I2229" s="2">
        <v>25</v>
      </c>
      <c r="J2229" s="2">
        <v>0</v>
      </c>
      <c r="K2229" s="8" t="s">
        <v>865</v>
      </c>
      <c r="L2229" s="43" t="s">
        <v>5843</v>
      </c>
      <c r="P2229" s="41">
        <v>25</v>
      </c>
      <c r="Q2229" s="41">
        <v>5</v>
      </c>
      <c r="R2229" s="41">
        <v>69</v>
      </c>
      <c r="S2229" t="s">
        <v>3329</v>
      </c>
      <c r="AH2229" t="s">
        <v>359</v>
      </c>
    </row>
    <row r="2230" spans="1:34" ht="15.75">
      <c r="A2230" s="29">
        <f t="shared" si="34"/>
        <v>100</v>
      </c>
      <c r="B2230" s="2">
        <v>447</v>
      </c>
      <c r="C2230" s="2">
        <v>8</v>
      </c>
      <c r="D2230" s="2">
        <v>1817</v>
      </c>
      <c r="E2230">
        <v>8405</v>
      </c>
      <c r="H2230" t="s">
        <v>1540</v>
      </c>
      <c r="I2230" s="2">
        <v>100</v>
      </c>
      <c r="J2230" s="2">
        <v>0</v>
      </c>
      <c r="K2230" s="8" t="s">
        <v>865</v>
      </c>
      <c r="L2230" s="43" t="s">
        <v>5989</v>
      </c>
      <c r="P2230" s="41">
        <v>11</v>
      </c>
      <c r="Q2230" s="41">
        <v>10</v>
      </c>
      <c r="R2230" s="41">
        <v>32</v>
      </c>
      <c r="S2230" t="s">
        <v>3343</v>
      </c>
      <c r="AH2230" t="s">
        <v>359</v>
      </c>
    </row>
    <row r="2231" spans="1:34" ht="15.75">
      <c r="A2231" s="29">
        <f t="shared" si="34"/>
        <v>80873</v>
      </c>
      <c r="B2231" s="2">
        <v>447</v>
      </c>
      <c r="C2231" s="2">
        <v>8</v>
      </c>
      <c r="D2231" s="2">
        <v>1817</v>
      </c>
      <c r="E2231">
        <v>8406</v>
      </c>
      <c r="H2231" t="s">
        <v>1540</v>
      </c>
      <c r="I2231" s="2">
        <f>77873+3000</f>
        <v>80873</v>
      </c>
      <c r="J2231" s="2">
        <v>0</v>
      </c>
      <c r="K2231" s="8" t="s">
        <v>865</v>
      </c>
      <c r="L2231" s="43" t="s">
        <v>5438</v>
      </c>
      <c r="M2231" s="41" t="s">
        <v>5439</v>
      </c>
      <c r="N2231" s="41" t="s">
        <v>5440</v>
      </c>
      <c r="O2231" s="41" t="s">
        <v>5441</v>
      </c>
      <c r="P2231" s="41">
        <v>22</v>
      </c>
      <c r="Q2231" s="41">
        <v>9</v>
      </c>
      <c r="S2231" t="s">
        <v>5442</v>
      </c>
      <c r="T2231" t="s">
        <v>5444</v>
      </c>
      <c r="U2231" t="s">
        <v>5443</v>
      </c>
      <c r="V2231" t="s">
        <v>5445</v>
      </c>
      <c r="AH2231" t="s">
        <v>359</v>
      </c>
    </row>
    <row r="2232" spans="1:34" ht="15.75">
      <c r="A2232" s="29">
        <f t="shared" si="34"/>
        <v>186</v>
      </c>
      <c r="B2232" s="2">
        <v>448</v>
      </c>
      <c r="C2232" s="2">
        <v>8</v>
      </c>
      <c r="D2232" s="2">
        <v>1817</v>
      </c>
      <c r="E2232">
        <v>8441</v>
      </c>
      <c r="H2232" t="s">
        <v>850</v>
      </c>
      <c r="I2232" s="2">
        <v>186</v>
      </c>
      <c r="J2232" s="2">
        <v>0</v>
      </c>
      <c r="K2232" s="2" t="s">
        <v>1549</v>
      </c>
      <c r="L2232" s="43" t="s">
        <v>5989</v>
      </c>
      <c r="P2232" s="41">
        <v>17</v>
      </c>
      <c r="Q2232" s="41">
        <v>2</v>
      </c>
      <c r="R2232" s="41">
        <v>84</v>
      </c>
      <c r="S2232" t="s">
        <v>3329</v>
      </c>
      <c r="AH2232" t="s">
        <v>359</v>
      </c>
    </row>
    <row r="2233" spans="1:34" ht="15.75">
      <c r="A2233" s="29">
        <f t="shared" si="34"/>
        <v>316</v>
      </c>
      <c r="B2233" s="2">
        <v>448</v>
      </c>
      <c r="C2233" s="2">
        <v>8</v>
      </c>
      <c r="D2233" s="2">
        <v>1817</v>
      </c>
      <c r="E2233">
        <v>8442</v>
      </c>
      <c r="H2233" t="s">
        <v>850</v>
      </c>
      <c r="I2233" s="2">
        <v>316</v>
      </c>
      <c r="J2233" s="2">
        <v>0</v>
      </c>
      <c r="K2233" s="2" t="s">
        <v>1549</v>
      </c>
      <c r="L2233" s="43" t="s">
        <v>5989</v>
      </c>
      <c r="P2233" s="41">
        <v>11</v>
      </c>
      <c r="Q2233" s="41">
        <v>3</v>
      </c>
      <c r="R2233" s="41">
        <v>46</v>
      </c>
      <c r="S2233" t="s">
        <v>3321</v>
      </c>
      <c r="AH2233" t="s">
        <v>359</v>
      </c>
    </row>
    <row r="2234" spans="1:34" ht="15.75">
      <c r="A2234" s="29">
        <f t="shared" si="34"/>
        <v>85</v>
      </c>
      <c r="B2234" s="2">
        <v>448</v>
      </c>
      <c r="C2234" s="2">
        <v>8</v>
      </c>
      <c r="D2234" s="2">
        <v>1817</v>
      </c>
      <c r="E2234">
        <v>8443</v>
      </c>
      <c r="H2234" t="s">
        <v>1549</v>
      </c>
      <c r="I2234" s="2">
        <v>85</v>
      </c>
      <c r="J2234" s="2">
        <v>0</v>
      </c>
      <c r="K2234" s="2" t="s">
        <v>1549</v>
      </c>
      <c r="L2234" s="43" t="s">
        <v>1465</v>
      </c>
      <c r="P2234" s="41">
        <v>29</v>
      </c>
      <c r="Q2234" s="41">
        <v>7</v>
      </c>
      <c r="R2234" s="41">
        <v>74</v>
      </c>
      <c r="S2234" t="s">
        <v>3321</v>
      </c>
      <c r="AH2234" t="s">
        <v>359</v>
      </c>
    </row>
    <row r="2235" spans="1:34" ht="15.75">
      <c r="A2235" s="29">
        <f t="shared" si="34"/>
        <v>5866.666666666666</v>
      </c>
      <c r="B2235" s="2">
        <v>448</v>
      </c>
      <c r="C2235" s="2">
        <v>8</v>
      </c>
      <c r="D2235" s="2">
        <v>1817</v>
      </c>
      <c r="E2235">
        <v>8444</v>
      </c>
      <c r="H2235" t="s">
        <v>850</v>
      </c>
      <c r="I2235" s="2">
        <v>1200</v>
      </c>
      <c r="J2235" s="2">
        <v>1400</v>
      </c>
      <c r="K2235" s="2" t="s">
        <v>1549</v>
      </c>
      <c r="L2235" s="43" t="s">
        <v>1465</v>
      </c>
      <c r="P2235" s="41">
        <v>5</v>
      </c>
      <c r="Q2235" s="41">
        <v>10</v>
      </c>
      <c r="R2235" s="41">
        <v>25</v>
      </c>
      <c r="S2235" t="s">
        <v>3321</v>
      </c>
      <c r="X2235">
        <f>1/6</f>
        <v>0.16666666666666666</v>
      </c>
      <c r="Y2235" t="s">
        <v>5446</v>
      </c>
      <c r="AH2235" t="s">
        <v>359</v>
      </c>
    </row>
    <row r="2236" spans="1:34" ht="15.75">
      <c r="A2236" s="29">
        <f t="shared" si="34"/>
        <v>329</v>
      </c>
      <c r="B2236" s="2">
        <v>448</v>
      </c>
      <c r="C2236" s="2">
        <v>8</v>
      </c>
      <c r="D2236" s="2">
        <v>1817</v>
      </c>
      <c r="E2236">
        <v>8445</v>
      </c>
      <c r="H2236" t="s">
        <v>850</v>
      </c>
      <c r="I2236" s="2">
        <v>329</v>
      </c>
      <c r="J2236" s="2">
        <v>0</v>
      </c>
      <c r="K2236" s="2" t="s">
        <v>1549</v>
      </c>
      <c r="L2236" s="43" t="s">
        <v>4321</v>
      </c>
      <c r="P2236" s="41">
        <v>14</v>
      </c>
      <c r="Q2236" s="41">
        <v>8</v>
      </c>
      <c r="R2236" s="41">
        <v>39</v>
      </c>
      <c r="S2236" t="s">
        <v>3321</v>
      </c>
      <c r="AH2236" t="s">
        <v>359</v>
      </c>
    </row>
    <row r="2237" spans="1:34" ht="15.75">
      <c r="A2237" s="29">
        <f t="shared" si="34"/>
        <v>20</v>
      </c>
      <c r="B2237" s="2">
        <v>448</v>
      </c>
      <c r="C2237" s="2">
        <v>8</v>
      </c>
      <c r="D2237" s="2">
        <v>1817</v>
      </c>
      <c r="E2237">
        <v>8446</v>
      </c>
      <c r="H2237" t="s">
        <v>850</v>
      </c>
      <c r="I2237" s="2">
        <v>20</v>
      </c>
      <c r="J2237" s="2">
        <v>0</v>
      </c>
      <c r="K2237" s="2" t="s">
        <v>1549</v>
      </c>
      <c r="L2237" s="43" t="s">
        <v>1466</v>
      </c>
      <c r="P2237" s="41">
        <v>6</v>
      </c>
      <c r="Q2237" s="41">
        <v>1</v>
      </c>
      <c r="R2237" s="41">
        <v>66</v>
      </c>
      <c r="S2237" t="s">
        <v>3329</v>
      </c>
      <c r="AH2237" t="s">
        <v>359</v>
      </c>
    </row>
    <row r="2238" spans="1:34" ht="15.75">
      <c r="A2238" s="29">
        <f t="shared" si="34"/>
        <v>4612</v>
      </c>
      <c r="B2238" s="2">
        <v>448</v>
      </c>
      <c r="C2238" s="2">
        <v>8</v>
      </c>
      <c r="D2238" s="2">
        <v>1817</v>
      </c>
      <c r="E2238">
        <v>8447</v>
      </c>
      <c r="H2238" t="s">
        <v>850</v>
      </c>
      <c r="I2238" s="2">
        <v>4612</v>
      </c>
      <c r="J2238" s="2">
        <v>0</v>
      </c>
      <c r="K2238" s="2" t="s">
        <v>1549</v>
      </c>
      <c r="L2238" s="43" t="s">
        <v>1468</v>
      </c>
      <c r="P2238" s="41">
        <v>11</v>
      </c>
      <c r="Q2238" s="41">
        <v>8</v>
      </c>
      <c r="R2238" s="41">
        <v>59</v>
      </c>
      <c r="S2238" t="s">
        <v>3321</v>
      </c>
      <c r="AH2238" t="s">
        <v>359</v>
      </c>
    </row>
    <row r="2239" spans="1:34" ht="15.75">
      <c r="A2239" s="29">
        <f t="shared" si="34"/>
        <v>1014</v>
      </c>
      <c r="B2239" s="2">
        <v>448</v>
      </c>
      <c r="C2239" s="2">
        <v>8</v>
      </c>
      <c r="D2239" s="2">
        <v>1817</v>
      </c>
      <c r="E2239">
        <v>8448</v>
      </c>
      <c r="H2239" t="s">
        <v>1549</v>
      </c>
      <c r="I2239" s="2">
        <v>1014</v>
      </c>
      <c r="J2239" s="2">
        <v>0</v>
      </c>
      <c r="K2239" s="2" t="s">
        <v>1549</v>
      </c>
      <c r="L2239" s="43" t="s">
        <v>1469</v>
      </c>
      <c r="P2239" s="41">
        <v>14</v>
      </c>
      <c r="Q2239" s="41">
        <v>8</v>
      </c>
      <c r="R2239" s="41" t="s">
        <v>868</v>
      </c>
      <c r="S2239" t="s">
        <v>3321</v>
      </c>
      <c r="AH2239" t="s">
        <v>359</v>
      </c>
    </row>
    <row r="2240" spans="1:34" ht="15.75">
      <c r="A2240" s="29">
        <f t="shared" si="34"/>
        <v>11</v>
      </c>
      <c r="B2240" s="2">
        <v>448</v>
      </c>
      <c r="C2240" s="2">
        <v>8</v>
      </c>
      <c r="D2240" s="2">
        <v>1817</v>
      </c>
      <c r="E2240">
        <v>8450</v>
      </c>
      <c r="H2240" t="s">
        <v>850</v>
      </c>
      <c r="I2240" s="2">
        <v>11</v>
      </c>
      <c r="J2240" s="2">
        <v>0</v>
      </c>
      <c r="K2240" s="2" t="s">
        <v>1549</v>
      </c>
      <c r="L2240" s="43" t="s">
        <v>5092</v>
      </c>
      <c r="P2240" s="41">
        <v>3</v>
      </c>
      <c r="Q2240" s="41">
        <v>4</v>
      </c>
      <c r="R2240" s="41" t="s">
        <v>868</v>
      </c>
      <c r="S2240" t="s">
        <v>3343</v>
      </c>
      <c r="AH2240" t="s">
        <v>359</v>
      </c>
    </row>
    <row r="2241" spans="1:34" ht="15.75">
      <c r="A2241" s="29">
        <f t="shared" si="34"/>
        <v>182833</v>
      </c>
      <c r="B2241" s="2">
        <v>448</v>
      </c>
      <c r="C2241" s="2">
        <v>8</v>
      </c>
      <c r="D2241" s="2">
        <v>1817</v>
      </c>
      <c r="E2241">
        <v>8451</v>
      </c>
      <c r="H2241" t="s">
        <v>850</v>
      </c>
      <c r="I2241" s="2">
        <f>27697+25636+34500</f>
        <v>87833</v>
      </c>
      <c r="J2241" s="2">
        <v>4750</v>
      </c>
      <c r="K2241" s="2" t="s">
        <v>1549</v>
      </c>
      <c r="L2241" s="43" t="s">
        <v>5450</v>
      </c>
      <c r="M2241" s="41" t="s">
        <v>5451</v>
      </c>
      <c r="O2241" s="41" t="s">
        <v>5452</v>
      </c>
      <c r="P2241" s="41">
        <v>20</v>
      </c>
      <c r="Q2241" s="41">
        <v>17</v>
      </c>
      <c r="S2241" t="s">
        <v>5453</v>
      </c>
      <c r="T2241" t="s">
        <v>4645</v>
      </c>
      <c r="U2241" t="s">
        <v>5454</v>
      </c>
      <c r="V2241" t="s">
        <v>1183</v>
      </c>
      <c r="X2241">
        <v>1</v>
      </c>
      <c r="Y2241" t="s">
        <v>5452</v>
      </c>
      <c r="AH2241" t="s">
        <v>359</v>
      </c>
    </row>
    <row r="2242" spans="1:34" ht="15.75">
      <c r="A2242" s="29">
        <f aca="true" t="shared" si="35" ref="A2242:A2305">I2242+J2242*20*X2242</f>
        <v>221</v>
      </c>
      <c r="B2242" s="2">
        <v>448</v>
      </c>
      <c r="C2242" s="2">
        <v>8</v>
      </c>
      <c r="D2242" s="2">
        <v>1817</v>
      </c>
      <c r="E2242">
        <v>8452</v>
      </c>
      <c r="H2242" t="s">
        <v>850</v>
      </c>
      <c r="I2242" s="2">
        <v>221</v>
      </c>
      <c r="J2242" s="2">
        <v>0</v>
      </c>
      <c r="K2242" s="2" t="s">
        <v>1549</v>
      </c>
      <c r="L2242" s="43" t="s">
        <v>1475</v>
      </c>
      <c r="P2242" s="41">
        <v>30</v>
      </c>
      <c r="Q2242" s="41">
        <v>7</v>
      </c>
      <c r="R2242" s="41">
        <v>34</v>
      </c>
      <c r="S2242" t="s">
        <v>3321</v>
      </c>
      <c r="AH2242" t="s">
        <v>359</v>
      </c>
    </row>
    <row r="2243" spans="1:34" ht="15.75">
      <c r="A2243" s="29">
        <f t="shared" si="35"/>
        <v>491130</v>
      </c>
      <c r="B2243" s="2">
        <v>448</v>
      </c>
      <c r="C2243" s="2">
        <v>8</v>
      </c>
      <c r="D2243" s="2">
        <v>1817</v>
      </c>
      <c r="E2243">
        <v>8454</v>
      </c>
      <c r="H2243" t="s">
        <v>850</v>
      </c>
      <c r="I2243" s="2">
        <f>36250+300</f>
        <v>36550</v>
      </c>
      <c r="J2243" s="2">
        <f>21229+1500</f>
        <v>22729</v>
      </c>
      <c r="K2243" s="2" t="s">
        <v>1549</v>
      </c>
      <c r="L2243" s="43" t="s">
        <v>5455</v>
      </c>
      <c r="M2243" s="41" t="s">
        <v>4912</v>
      </c>
      <c r="O2243" s="41" t="s">
        <v>5456</v>
      </c>
      <c r="P2243" s="41">
        <v>17</v>
      </c>
      <c r="Q2243" s="41">
        <v>8</v>
      </c>
      <c r="R2243" s="41">
        <v>53</v>
      </c>
      <c r="S2243" t="s">
        <v>5457</v>
      </c>
      <c r="T2243" t="s">
        <v>4929</v>
      </c>
      <c r="V2243" t="s">
        <v>3148</v>
      </c>
      <c r="X2243">
        <v>1</v>
      </c>
      <c r="Y2243" t="s">
        <v>5458</v>
      </c>
      <c r="AH2243" t="s">
        <v>359</v>
      </c>
    </row>
    <row r="2244" spans="1:34" ht="15.75">
      <c r="A2244" s="29">
        <f t="shared" si="35"/>
        <v>6</v>
      </c>
      <c r="B2244" s="2">
        <v>449</v>
      </c>
      <c r="C2244" s="2">
        <v>8</v>
      </c>
      <c r="D2244" s="2">
        <v>1817</v>
      </c>
      <c r="E2244">
        <v>8476</v>
      </c>
      <c r="H2244" t="s">
        <v>1541</v>
      </c>
      <c r="I2244" s="2">
        <v>6</v>
      </c>
      <c r="J2244" s="2">
        <v>0</v>
      </c>
      <c r="K2244" s="2" t="s">
        <v>1549</v>
      </c>
      <c r="L2244" s="43" t="s">
        <v>3317</v>
      </c>
      <c r="P2244" s="41">
        <v>1</v>
      </c>
      <c r="Q2244" s="41">
        <v>7</v>
      </c>
      <c r="R2244" s="41">
        <v>60</v>
      </c>
      <c r="S2244" t="s">
        <v>3343</v>
      </c>
      <c r="AH2244" t="s">
        <v>359</v>
      </c>
    </row>
    <row r="2245" spans="1:34" ht="15.75">
      <c r="A2245" s="29">
        <f t="shared" si="35"/>
        <v>3631</v>
      </c>
      <c r="B2245" s="2">
        <v>449</v>
      </c>
      <c r="C2245" s="2">
        <v>8</v>
      </c>
      <c r="D2245" s="2">
        <v>1817</v>
      </c>
      <c r="E2245">
        <v>8477</v>
      </c>
      <c r="H2245" t="s">
        <v>1540</v>
      </c>
      <c r="I2245" s="2">
        <v>3631</v>
      </c>
      <c r="J2245" s="2">
        <v>0</v>
      </c>
      <c r="K2245" s="2" t="s">
        <v>1549</v>
      </c>
      <c r="L2245" s="43" t="s">
        <v>5459</v>
      </c>
      <c r="P2245" s="41">
        <v>2</v>
      </c>
      <c r="Q2245" s="41">
        <v>3</v>
      </c>
      <c r="R2245" s="41" t="s">
        <v>868</v>
      </c>
      <c r="S2245" t="s">
        <v>3321</v>
      </c>
      <c r="AH2245" t="s">
        <v>359</v>
      </c>
    </row>
    <row r="2246" spans="1:34" ht="15.75">
      <c r="A2246" s="29">
        <f t="shared" si="35"/>
        <v>52</v>
      </c>
      <c r="B2246" s="2">
        <v>449</v>
      </c>
      <c r="C2246" s="2">
        <v>8</v>
      </c>
      <c r="D2246" s="2">
        <v>1817</v>
      </c>
      <c r="E2246">
        <v>8478</v>
      </c>
      <c r="H2246" t="s">
        <v>1541</v>
      </c>
      <c r="I2246" s="2">
        <v>52</v>
      </c>
      <c r="J2246" s="2">
        <v>0</v>
      </c>
      <c r="K2246" s="2" t="s">
        <v>1549</v>
      </c>
      <c r="L2246" s="43" t="s">
        <v>3320</v>
      </c>
      <c r="P2246" s="41">
        <v>26</v>
      </c>
      <c r="Q2246" s="41">
        <v>10</v>
      </c>
      <c r="R2246" s="41" t="s">
        <v>868</v>
      </c>
      <c r="S2246" t="s">
        <v>3329</v>
      </c>
      <c r="AH2246" t="s">
        <v>359</v>
      </c>
    </row>
    <row r="2247" spans="1:34" ht="15.75">
      <c r="A2247" s="29">
        <f t="shared" si="35"/>
        <v>5334</v>
      </c>
      <c r="B2247" s="2">
        <v>449</v>
      </c>
      <c r="C2247" s="2">
        <v>8</v>
      </c>
      <c r="D2247" s="2">
        <v>1817</v>
      </c>
      <c r="E2247">
        <v>8479</v>
      </c>
      <c r="H2247" t="s">
        <v>1540</v>
      </c>
      <c r="I2247" s="2">
        <v>5334</v>
      </c>
      <c r="J2247" s="2">
        <v>0</v>
      </c>
      <c r="K2247" s="2" t="s">
        <v>1549</v>
      </c>
      <c r="L2247" s="43" t="s">
        <v>3320</v>
      </c>
      <c r="P2247" s="41">
        <v>6</v>
      </c>
      <c r="Q2247" s="41">
        <v>7</v>
      </c>
      <c r="R2247" s="41">
        <v>54</v>
      </c>
      <c r="S2247" t="s">
        <v>3321</v>
      </c>
      <c r="AH2247" t="s">
        <v>359</v>
      </c>
    </row>
    <row r="2248" spans="1:34" ht="15.75">
      <c r="A2248" s="29">
        <f t="shared" si="35"/>
        <v>1320</v>
      </c>
      <c r="B2248" s="2">
        <v>449</v>
      </c>
      <c r="C2248" s="2">
        <v>8</v>
      </c>
      <c r="D2248" s="2">
        <v>1817</v>
      </c>
      <c r="E2248">
        <v>8480</v>
      </c>
      <c r="H2248" t="s">
        <v>1540</v>
      </c>
      <c r="I2248" s="2">
        <v>1320</v>
      </c>
      <c r="J2248" s="2">
        <v>0</v>
      </c>
      <c r="K2248" s="2" t="s">
        <v>1549</v>
      </c>
      <c r="L2248" s="43" t="s">
        <v>5460</v>
      </c>
      <c r="P2248" s="41">
        <v>2</v>
      </c>
      <c r="Q2248" s="41">
        <v>1</v>
      </c>
      <c r="R2248" s="41">
        <v>73</v>
      </c>
      <c r="S2248" t="s">
        <v>3321</v>
      </c>
      <c r="AH2248" t="s">
        <v>359</v>
      </c>
    </row>
    <row r="2249" spans="1:34" ht="15.75">
      <c r="A2249" s="29">
        <f t="shared" si="35"/>
        <v>60</v>
      </c>
      <c r="B2249" s="2">
        <v>449</v>
      </c>
      <c r="C2249" s="2">
        <v>8</v>
      </c>
      <c r="D2249" s="2">
        <v>1817</v>
      </c>
      <c r="E2249">
        <v>8481</v>
      </c>
      <c r="H2249" t="s">
        <v>1541</v>
      </c>
      <c r="I2249" s="2">
        <v>60</v>
      </c>
      <c r="J2249" s="2">
        <v>0</v>
      </c>
      <c r="K2249" s="2" t="s">
        <v>1549</v>
      </c>
      <c r="L2249" s="43" t="s">
        <v>5007</v>
      </c>
      <c r="P2249" s="41">
        <v>25</v>
      </c>
      <c r="Q2249" s="41">
        <v>11</v>
      </c>
      <c r="R2249" s="41">
        <v>60</v>
      </c>
      <c r="S2249" t="s">
        <v>3329</v>
      </c>
      <c r="AH2249" t="s">
        <v>359</v>
      </c>
    </row>
    <row r="2250" spans="1:34" ht="15.75">
      <c r="A2250" s="29">
        <f t="shared" si="35"/>
        <v>3736</v>
      </c>
      <c r="B2250" s="2">
        <v>449</v>
      </c>
      <c r="C2250" s="2">
        <v>8</v>
      </c>
      <c r="D2250" s="2">
        <v>1817</v>
      </c>
      <c r="E2250">
        <v>8482</v>
      </c>
      <c r="H2250" t="s">
        <v>1541</v>
      </c>
      <c r="I2250" s="2">
        <f>736+3000</f>
        <v>3736</v>
      </c>
      <c r="J2250" s="2">
        <v>0</v>
      </c>
      <c r="K2250" s="2" t="s">
        <v>1549</v>
      </c>
      <c r="L2250" s="43" t="s">
        <v>5008</v>
      </c>
      <c r="P2250" s="41">
        <v>14</v>
      </c>
      <c r="Q2250" s="41">
        <v>4</v>
      </c>
      <c r="R2250" s="41">
        <v>77</v>
      </c>
      <c r="S2250" t="s">
        <v>5227</v>
      </c>
      <c r="AH2250" t="s">
        <v>359</v>
      </c>
    </row>
    <row r="2251" spans="1:34" ht="15.75">
      <c r="A2251" s="29">
        <f t="shared" si="35"/>
        <v>58</v>
      </c>
      <c r="B2251" s="2">
        <v>449</v>
      </c>
      <c r="C2251" s="2">
        <v>8</v>
      </c>
      <c r="D2251" s="2">
        <v>1817</v>
      </c>
      <c r="E2251">
        <v>8483</v>
      </c>
      <c r="H2251" t="s">
        <v>1541</v>
      </c>
      <c r="I2251" s="2">
        <v>58</v>
      </c>
      <c r="J2251" s="2">
        <v>0</v>
      </c>
      <c r="K2251" s="2" t="s">
        <v>1549</v>
      </c>
      <c r="L2251" s="43" t="s">
        <v>3323</v>
      </c>
      <c r="P2251" s="41">
        <v>18</v>
      </c>
      <c r="Q2251" s="41">
        <v>5</v>
      </c>
      <c r="R2251" s="41">
        <v>63</v>
      </c>
      <c r="S2251" t="s">
        <v>3321</v>
      </c>
      <c r="AH2251" t="s">
        <v>359</v>
      </c>
    </row>
    <row r="2252" spans="1:34" ht="15.75">
      <c r="A2252" s="29">
        <f t="shared" si="35"/>
        <v>246</v>
      </c>
      <c r="B2252" s="2">
        <v>449</v>
      </c>
      <c r="C2252" s="2">
        <v>8</v>
      </c>
      <c r="D2252" s="2">
        <v>1817</v>
      </c>
      <c r="E2252">
        <v>8484</v>
      </c>
      <c r="H2252" t="s">
        <v>1541</v>
      </c>
      <c r="I2252" s="2">
        <v>246</v>
      </c>
      <c r="J2252" s="2">
        <v>0</v>
      </c>
      <c r="K2252" s="2" t="s">
        <v>1549</v>
      </c>
      <c r="L2252" s="43" t="s">
        <v>4901</v>
      </c>
      <c r="P2252" s="41">
        <v>27</v>
      </c>
      <c r="Q2252" s="41">
        <v>11</v>
      </c>
      <c r="R2252" s="41" t="s">
        <v>868</v>
      </c>
      <c r="S2252" t="s">
        <v>3329</v>
      </c>
      <c r="AH2252" t="s">
        <v>359</v>
      </c>
    </row>
    <row r="2253" spans="1:34" ht="15.75">
      <c r="A2253" s="29">
        <f t="shared" si="35"/>
        <v>121</v>
      </c>
      <c r="B2253" s="2">
        <v>449</v>
      </c>
      <c r="C2253" s="2">
        <v>8</v>
      </c>
      <c r="D2253" s="2">
        <v>1817</v>
      </c>
      <c r="E2253">
        <v>8485</v>
      </c>
      <c r="H2253" t="s">
        <v>1540</v>
      </c>
      <c r="I2253" s="2">
        <v>121</v>
      </c>
      <c r="J2253" s="2">
        <v>0</v>
      </c>
      <c r="K2253" s="2" t="s">
        <v>1549</v>
      </c>
      <c r="L2253" s="43" t="s">
        <v>1489</v>
      </c>
      <c r="P2253" s="41">
        <v>20</v>
      </c>
      <c r="Q2253" s="41">
        <v>2</v>
      </c>
      <c r="R2253" s="41">
        <v>65</v>
      </c>
      <c r="S2253" t="s">
        <v>3329</v>
      </c>
      <c r="AH2253" t="s">
        <v>359</v>
      </c>
    </row>
    <row r="2254" spans="1:34" ht="15.75">
      <c r="A2254" s="29">
        <f t="shared" si="35"/>
        <v>20142</v>
      </c>
      <c r="B2254" s="2">
        <v>449</v>
      </c>
      <c r="C2254" s="2">
        <v>8</v>
      </c>
      <c r="D2254" s="2">
        <v>1817</v>
      </c>
      <c r="E2254">
        <v>8486</v>
      </c>
      <c r="H2254" t="s">
        <v>1549</v>
      </c>
      <c r="I2254" s="2">
        <v>642</v>
      </c>
      <c r="J2254" s="2">
        <f>400+350+225</f>
        <v>975</v>
      </c>
      <c r="K2254" s="2" t="s">
        <v>1549</v>
      </c>
      <c r="L2254" s="43" t="s">
        <v>3326</v>
      </c>
      <c r="M2254" s="41" t="s">
        <v>1345</v>
      </c>
      <c r="N2254" s="41" t="s">
        <v>5461</v>
      </c>
      <c r="O2254" s="41" t="s">
        <v>5462</v>
      </c>
      <c r="P2254" s="41">
        <v>12</v>
      </c>
      <c r="Q2254" s="41">
        <v>10</v>
      </c>
      <c r="R2254" s="41" t="s">
        <v>868</v>
      </c>
      <c r="S2254" t="s">
        <v>3321</v>
      </c>
      <c r="T2254" t="s">
        <v>2455</v>
      </c>
      <c r="V2254" t="s">
        <v>5463</v>
      </c>
      <c r="X2254">
        <v>1</v>
      </c>
      <c r="Y2254" t="s">
        <v>5462</v>
      </c>
      <c r="AH2254" t="s">
        <v>359</v>
      </c>
    </row>
    <row r="2255" spans="1:34" ht="15.75">
      <c r="A2255" s="29">
        <f t="shared" si="35"/>
        <v>12524</v>
      </c>
      <c r="B2255" s="2">
        <v>449</v>
      </c>
      <c r="C2255" s="2">
        <v>8</v>
      </c>
      <c r="D2255" s="2">
        <v>1817</v>
      </c>
      <c r="E2255">
        <v>8487</v>
      </c>
      <c r="H2255" t="s">
        <v>1541</v>
      </c>
      <c r="I2255" s="2">
        <v>12524</v>
      </c>
      <c r="J2255" s="2">
        <v>0</v>
      </c>
      <c r="K2255" s="2" t="s">
        <v>1549</v>
      </c>
      <c r="L2255" s="43" t="s">
        <v>2292</v>
      </c>
      <c r="P2255" s="41">
        <v>8</v>
      </c>
      <c r="Q2255" s="41">
        <v>12</v>
      </c>
      <c r="R2255" s="41">
        <v>77</v>
      </c>
      <c r="S2255" t="s">
        <v>3329</v>
      </c>
      <c r="AH2255" t="s">
        <v>359</v>
      </c>
    </row>
    <row r="2256" spans="1:34" ht="15.75">
      <c r="A2256" s="29">
        <f t="shared" si="35"/>
        <v>167</v>
      </c>
      <c r="B2256" s="2">
        <v>449</v>
      </c>
      <c r="C2256" s="2">
        <v>8</v>
      </c>
      <c r="D2256" s="2">
        <v>1817</v>
      </c>
      <c r="E2256">
        <v>8488</v>
      </c>
      <c r="H2256" t="s">
        <v>1540</v>
      </c>
      <c r="I2256" s="2">
        <v>167</v>
      </c>
      <c r="J2256" s="2">
        <v>0</v>
      </c>
      <c r="K2256" s="2" t="s">
        <v>1549</v>
      </c>
      <c r="L2256" s="43" t="s">
        <v>3327</v>
      </c>
      <c r="P2256" s="41">
        <v>29</v>
      </c>
      <c r="Q2256" s="41">
        <v>7</v>
      </c>
      <c r="R2256" s="41">
        <v>53</v>
      </c>
      <c r="S2256" t="s">
        <v>3324</v>
      </c>
      <c r="AH2256" t="s">
        <v>359</v>
      </c>
    </row>
    <row r="2257" spans="1:34" ht="15.75">
      <c r="A2257" s="29">
        <f t="shared" si="35"/>
        <v>218</v>
      </c>
      <c r="B2257" s="2">
        <v>449</v>
      </c>
      <c r="C2257" s="2">
        <v>8</v>
      </c>
      <c r="D2257" s="2">
        <v>1817</v>
      </c>
      <c r="E2257">
        <v>8489</v>
      </c>
      <c r="H2257" t="s">
        <v>1540</v>
      </c>
      <c r="I2257" s="2">
        <v>218</v>
      </c>
      <c r="J2257" s="2">
        <v>0</v>
      </c>
      <c r="K2257" s="2" t="s">
        <v>1549</v>
      </c>
      <c r="AH2257" t="s">
        <v>359</v>
      </c>
    </row>
    <row r="2258" spans="1:34" ht="15.75">
      <c r="A2258" s="29">
        <f t="shared" si="35"/>
        <v>17420</v>
      </c>
      <c r="B2258" s="8">
        <v>451</v>
      </c>
      <c r="C2258" s="2">
        <v>8</v>
      </c>
      <c r="D2258" s="2">
        <v>1817</v>
      </c>
      <c r="E2258">
        <v>8507</v>
      </c>
      <c r="F2258" s="9"/>
      <c r="G2258" s="9"/>
      <c r="H2258" s="8"/>
      <c r="I2258" s="8">
        <v>1420</v>
      </c>
      <c r="J2258" s="8">
        <v>800</v>
      </c>
      <c r="K2258" s="2" t="s">
        <v>1277</v>
      </c>
      <c r="L2258" s="43" t="s">
        <v>4927</v>
      </c>
      <c r="M2258" s="43" t="s">
        <v>5464</v>
      </c>
      <c r="N2258" s="43" t="s">
        <v>5465</v>
      </c>
      <c r="O2258" s="43" t="s">
        <v>5466</v>
      </c>
      <c r="P2258" s="41">
        <v>20</v>
      </c>
      <c r="Q2258" s="41">
        <v>8</v>
      </c>
      <c r="R2258" s="41">
        <v>53</v>
      </c>
      <c r="S2258" s="23" t="s">
        <v>5467</v>
      </c>
      <c r="T2258" s="2" t="s">
        <v>5468</v>
      </c>
      <c r="V2258" s="2" t="s">
        <v>5469</v>
      </c>
      <c r="W2258" s="2"/>
      <c r="X2258" s="2">
        <v>1</v>
      </c>
      <c r="Y2258" s="2" t="s">
        <v>5470</v>
      </c>
      <c r="AA2258" s="2" t="s">
        <v>5471</v>
      </c>
      <c r="AB2258" s="2"/>
      <c r="AH2258" t="s">
        <v>359</v>
      </c>
    </row>
    <row r="2259" spans="1:34" ht="15.75">
      <c r="A2259" s="29">
        <f t="shared" si="35"/>
        <v>500</v>
      </c>
      <c r="B2259" s="2">
        <v>451</v>
      </c>
      <c r="C2259" s="2">
        <v>8</v>
      </c>
      <c r="D2259" s="2">
        <v>1817</v>
      </c>
      <c r="E2259">
        <v>8508</v>
      </c>
      <c r="H2259" s="2"/>
      <c r="I2259" s="2">
        <v>500</v>
      </c>
      <c r="J2259" s="2">
        <v>0</v>
      </c>
      <c r="K2259" s="2" t="s">
        <v>1277</v>
      </c>
      <c r="L2259" s="43" t="s">
        <v>5472</v>
      </c>
      <c r="P2259" s="41">
        <v>6</v>
      </c>
      <c r="Q2259" s="41">
        <v>12</v>
      </c>
      <c r="R2259" s="41">
        <v>61</v>
      </c>
      <c r="S2259" t="s">
        <v>3321</v>
      </c>
      <c r="U2259" s="2"/>
      <c r="V2259" s="2"/>
      <c r="W2259" s="2"/>
      <c r="X2259" s="2"/>
      <c r="AA2259" s="2"/>
      <c r="AB2259" s="2"/>
      <c r="AD2259" s="2"/>
      <c r="AH2259" t="s">
        <v>359</v>
      </c>
    </row>
    <row r="2260" spans="1:34" ht="15.75">
      <c r="A2260" s="29">
        <f t="shared" si="35"/>
        <v>67360</v>
      </c>
      <c r="B2260" s="2">
        <v>452</v>
      </c>
      <c r="C2260" s="2">
        <v>8</v>
      </c>
      <c r="D2260" s="2">
        <v>1817</v>
      </c>
      <c r="E2260">
        <v>8520</v>
      </c>
      <c r="H2260" s="2" t="s">
        <v>1541</v>
      </c>
      <c r="I2260" s="2">
        <v>67360</v>
      </c>
      <c r="J2260" s="2">
        <v>0</v>
      </c>
      <c r="K2260" s="2" t="s">
        <v>866</v>
      </c>
      <c r="L2260" s="43" t="s">
        <v>5480</v>
      </c>
      <c r="M2260" s="41" t="s">
        <v>5481</v>
      </c>
      <c r="O2260" s="41" t="s">
        <v>5482</v>
      </c>
      <c r="P2260" s="41">
        <v>11</v>
      </c>
      <c r="Q2260" s="41">
        <v>12</v>
      </c>
      <c r="R2260" s="41">
        <v>29</v>
      </c>
      <c r="S2260" t="s">
        <v>5483</v>
      </c>
      <c r="T2260" t="s">
        <v>5484</v>
      </c>
      <c r="V2260" t="s">
        <v>933</v>
      </c>
      <c r="AG2260" t="s">
        <v>5485</v>
      </c>
      <c r="AH2260" t="s">
        <v>359</v>
      </c>
    </row>
    <row r="2261" spans="1:34" ht="15.75">
      <c r="A2261" s="29">
        <f t="shared" si="35"/>
        <v>1824</v>
      </c>
      <c r="B2261" s="2">
        <v>452</v>
      </c>
      <c r="C2261" s="2">
        <v>8</v>
      </c>
      <c r="D2261" s="2">
        <v>1817</v>
      </c>
      <c r="E2261">
        <v>8521</v>
      </c>
      <c r="H2261" s="2" t="s">
        <v>1549</v>
      </c>
      <c r="I2261" s="2">
        <v>1824</v>
      </c>
      <c r="J2261" s="2">
        <v>0</v>
      </c>
      <c r="K2261" s="2" t="s">
        <v>866</v>
      </c>
      <c r="L2261" s="43" t="s">
        <v>5237</v>
      </c>
      <c r="P2261" s="41">
        <v>19</v>
      </c>
      <c r="Q2261" s="41">
        <v>1</v>
      </c>
      <c r="R2261" s="41">
        <v>75</v>
      </c>
      <c r="S2261" t="s">
        <v>3324</v>
      </c>
      <c r="AH2261" t="s">
        <v>359</v>
      </c>
    </row>
    <row r="2262" spans="1:34" ht="15.75">
      <c r="A2262" s="29">
        <f t="shared" si="35"/>
        <v>40000</v>
      </c>
      <c r="B2262" s="2">
        <v>452</v>
      </c>
      <c r="C2262" s="2">
        <v>8</v>
      </c>
      <c r="D2262" s="2">
        <v>1817</v>
      </c>
      <c r="E2262">
        <v>8522</v>
      </c>
      <c r="H2262" s="2" t="s">
        <v>1549</v>
      </c>
      <c r="I2262" s="2">
        <v>40000</v>
      </c>
      <c r="J2262" s="2">
        <v>0</v>
      </c>
      <c r="K2262" s="2" t="s">
        <v>866</v>
      </c>
      <c r="L2262" s="43" t="s">
        <v>5486</v>
      </c>
      <c r="M2262" s="41" t="s">
        <v>5487</v>
      </c>
      <c r="N2262" s="41" t="s">
        <v>5488</v>
      </c>
      <c r="P2262" s="41">
        <v>5</v>
      </c>
      <c r="Q2262" s="41">
        <v>5</v>
      </c>
      <c r="R2262" s="41" t="s">
        <v>1547</v>
      </c>
      <c r="S2262" t="s">
        <v>5489</v>
      </c>
      <c r="T2262" t="s">
        <v>5491</v>
      </c>
      <c r="U2262" t="s">
        <v>5490</v>
      </c>
      <c r="V2262" t="s">
        <v>5492</v>
      </c>
      <c r="Y2262" s="14" t="s">
        <v>999</v>
      </c>
      <c r="AH2262" t="s">
        <v>359</v>
      </c>
    </row>
    <row r="2263" spans="1:34" ht="15.75">
      <c r="A2263" s="29">
        <f t="shared" si="35"/>
        <v>1121</v>
      </c>
      <c r="B2263" s="2">
        <v>452</v>
      </c>
      <c r="C2263" s="2">
        <v>8</v>
      </c>
      <c r="D2263" s="2">
        <v>1817</v>
      </c>
      <c r="E2263">
        <v>8523</v>
      </c>
      <c r="H2263" s="2" t="s">
        <v>1541</v>
      </c>
      <c r="I2263" s="2">
        <f>634+487</f>
        <v>1121</v>
      </c>
      <c r="J2263" s="2">
        <v>0</v>
      </c>
      <c r="K2263" s="2" t="s">
        <v>866</v>
      </c>
      <c r="L2263" s="43" t="s">
        <v>5239</v>
      </c>
      <c r="P2263" s="41">
        <v>22</v>
      </c>
      <c r="Q2263" s="41">
        <v>11</v>
      </c>
      <c r="R2263" s="41">
        <v>83</v>
      </c>
      <c r="S2263" t="s">
        <v>3329</v>
      </c>
      <c r="AH2263" t="s">
        <v>359</v>
      </c>
    </row>
    <row r="2264" spans="1:34" ht="15.75">
      <c r="A2264" s="29">
        <f t="shared" si="35"/>
        <v>129.6</v>
      </c>
      <c r="B2264" s="2">
        <v>452</v>
      </c>
      <c r="C2264" s="2">
        <v>8</v>
      </c>
      <c r="D2264" s="2">
        <v>1817</v>
      </c>
      <c r="E2264">
        <v>8524</v>
      </c>
      <c r="H2264" s="2" t="s">
        <v>1541</v>
      </c>
      <c r="I2264" s="2">
        <f>99.6+30</f>
        <v>129.6</v>
      </c>
      <c r="J2264" s="2">
        <v>0</v>
      </c>
      <c r="K2264" s="2" t="s">
        <v>866</v>
      </c>
      <c r="L2264" s="43" t="s">
        <v>5493</v>
      </c>
      <c r="M2264" s="41" t="s">
        <v>1379</v>
      </c>
      <c r="N2264" s="41" t="s">
        <v>5494</v>
      </c>
      <c r="P2264" s="41">
        <v>11</v>
      </c>
      <c r="Q2264" s="41">
        <v>2</v>
      </c>
      <c r="R2264" s="41">
        <v>63</v>
      </c>
      <c r="S2264" t="s">
        <v>3329</v>
      </c>
      <c r="AH2264" t="s">
        <v>359</v>
      </c>
    </row>
    <row r="2265" spans="1:34" ht="15.75">
      <c r="A2265" s="29">
        <f t="shared" si="35"/>
        <v>327</v>
      </c>
      <c r="B2265" s="2">
        <v>452</v>
      </c>
      <c r="C2265" s="2">
        <v>8</v>
      </c>
      <c r="D2265" s="2">
        <v>1817</v>
      </c>
      <c r="E2265">
        <v>8525</v>
      </c>
      <c r="H2265" s="2" t="s">
        <v>1549</v>
      </c>
      <c r="I2265" s="2">
        <v>327</v>
      </c>
      <c r="J2265" s="2">
        <v>0</v>
      </c>
      <c r="K2265" s="2" t="s">
        <v>866</v>
      </c>
      <c r="L2265" s="43" t="s">
        <v>4910</v>
      </c>
      <c r="P2265" s="41">
        <v>12</v>
      </c>
      <c r="Q2265" s="41">
        <v>3</v>
      </c>
      <c r="R2265" s="41" t="s">
        <v>868</v>
      </c>
      <c r="S2265" t="s">
        <v>3321</v>
      </c>
      <c r="AH2265" t="s">
        <v>359</v>
      </c>
    </row>
    <row r="2266" spans="1:34" ht="15.75">
      <c r="A2266" s="29">
        <f t="shared" si="35"/>
        <v>40</v>
      </c>
      <c r="B2266" s="2">
        <v>452</v>
      </c>
      <c r="C2266" s="2">
        <v>8</v>
      </c>
      <c r="D2266" s="2">
        <v>1817</v>
      </c>
      <c r="E2266">
        <v>8526</v>
      </c>
      <c r="H2266" s="2" t="s">
        <v>1541</v>
      </c>
      <c r="I2266" s="2">
        <v>40</v>
      </c>
      <c r="J2266" s="2">
        <v>0</v>
      </c>
      <c r="K2266" s="2" t="s">
        <v>866</v>
      </c>
      <c r="L2266" s="43" t="s">
        <v>5241</v>
      </c>
      <c r="P2266" s="41">
        <v>15</v>
      </c>
      <c r="Q2266" s="41">
        <v>4</v>
      </c>
      <c r="R2266" s="41">
        <v>77</v>
      </c>
      <c r="S2266" t="s">
        <v>3329</v>
      </c>
      <c r="AH2266" t="s">
        <v>359</v>
      </c>
    </row>
    <row r="2267" spans="1:34" ht="15.75">
      <c r="A2267" s="29">
        <f t="shared" si="35"/>
        <v>12185</v>
      </c>
      <c r="B2267" s="2">
        <v>452</v>
      </c>
      <c r="C2267" s="2">
        <v>8</v>
      </c>
      <c r="D2267" s="2">
        <v>1817</v>
      </c>
      <c r="E2267">
        <v>8527</v>
      </c>
      <c r="H2267" s="2" t="s">
        <v>1549</v>
      </c>
      <c r="I2267" s="2">
        <v>12185</v>
      </c>
      <c r="J2267" s="2">
        <v>0</v>
      </c>
      <c r="K2267" s="2" t="s">
        <v>866</v>
      </c>
      <c r="L2267" s="43" t="s">
        <v>5495</v>
      </c>
      <c r="P2267" s="41">
        <v>7</v>
      </c>
      <c r="Q2267" s="41">
        <v>1</v>
      </c>
      <c r="R2267" s="41">
        <v>62</v>
      </c>
      <c r="S2267" t="s">
        <v>3321</v>
      </c>
      <c r="U2267" s="2"/>
      <c r="V2267" s="2"/>
      <c r="W2267" s="2"/>
      <c r="X2267" s="2"/>
      <c r="AA2267" s="2"/>
      <c r="AB2267" s="2"/>
      <c r="AD2267" s="2"/>
      <c r="AH2267" t="s">
        <v>359</v>
      </c>
    </row>
    <row r="2268" spans="1:34" ht="15.75">
      <c r="A2268" s="29">
        <f t="shared" si="35"/>
        <v>7725</v>
      </c>
      <c r="B2268" s="2">
        <v>452</v>
      </c>
      <c r="C2268" s="2">
        <v>8</v>
      </c>
      <c r="D2268" s="2">
        <v>1817</v>
      </c>
      <c r="E2268">
        <v>8529</v>
      </c>
      <c r="H2268" s="2" t="s">
        <v>1541</v>
      </c>
      <c r="I2268" s="2">
        <v>7725</v>
      </c>
      <c r="J2268" s="2">
        <v>0</v>
      </c>
      <c r="K2268" s="2" t="s">
        <v>866</v>
      </c>
      <c r="L2268" s="43" t="s">
        <v>5244</v>
      </c>
      <c r="P2268" s="41">
        <v>8</v>
      </c>
      <c r="Q2268" s="41">
        <v>10</v>
      </c>
      <c r="R2268" s="41">
        <v>34</v>
      </c>
      <c r="S2268" t="s">
        <v>3321</v>
      </c>
      <c r="U2268" s="2"/>
      <c r="V2268" s="2"/>
      <c r="W2268" s="2"/>
      <c r="X2268" s="2"/>
      <c r="AA2268" s="2"/>
      <c r="AB2268" s="2"/>
      <c r="AD2268" s="2"/>
      <c r="AH2268" t="s">
        <v>359</v>
      </c>
    </row>
    <row r="2269" spans="1:34" ht="15.75">
      <c r="A2269" s="29">
        <f t="shared" si="35"/>
        <v>12093</v>
      </c>
      <c r="B2269" s="2">
        <v>452</v>
      </c>
      <c r="C2269" s="2">
        <v>8</v>
      </c>
      <c r="D2269" s="2">
        <v>1817</v>
      </c>
      <c r="E2269">
        <v>8530</v>
      </c>
      <c r="H2269" s="2" t="s">
        <v>1541</v>
      </c>
      <c r="I2269" s="2">
        <v>12093</v>
      </c>
      <c r="J2269" s="2">
        <v>0</v>
      </c>
      <c r="K2269" s="2" t="s">
        <v>866</v>
      </c>
      <c r="L2269" s="43" t="s">
        <v>5244</v>
      </c>
      <c r="P2269" s="41">
        <v>16</v>
      </c>
      <c r="Q2269" s="41">
        <v>2</v>
      </c>
      <c r="R2269" s="41">
        <v>27</v>
      </c>
      <c r="S2269" t="s">
        <v>3321</v>
      </c>
      <c r="U2269" s="2"/>
      <c r="V2269" s="2"/>
      <c r="W2269" s="2"/>
      <c r="X2269" s="2"/>
      <c r="AA2269" s="2"/>
      <c r="AB2269" s="2"/>
      <c r="AD2269" s="2"/>
      <c r="AH2269" t="s">
        <v>359</v>
      </c>
    </row>
    <row r="2270" spans="1:34" ht="15.75">
      <c r="A2270" s="29">
        <f t="shared" si="35"/>
        <v>135</v>
      </c>
      <c r="B2270" s="2">
        <v>452</v>
      </c>
      <c r="C2270" s="2">
        <v>8</v>
      </c>
      <c r="D2270" s="2">
        <v>1817</v>
      </c>
      <c r="E2270">
        <v>8531</v>
      </c>
      <c r="H2270" s="2" t="s">
        <v>1541</v>
      </c>
      <c r="I2270" s="2">
        <v>135</v>
      </c>
      <c r="J2270" s="2">
        <v>0</v>
      </c>
      <c r="K2270" s="2" t="s">
        <v>866</v>
      </c>
      <c r="L2270" s="43" t="s">
        <v>5244</v>
      </c>
      <c r="P2270" s="41">
        <v>22</v>
      </c>
      <c r="Q2270" s="41">
        <v>4</v>
      </c>
      <c r="R2270" s="41">
        <v>48</v>
      </c>
      <c r="S2270" s="23" t="s">
        <v>3329</v>
      </c>
      <c r="U2270" s="2"/>
      <c r="V2270" s="3"/>
      <c r="W2270" s="3"/>
      <c r="X2270" s="2"/>
      <c r="AA2270" s="3"/>
      <c r="AB2270" s="3"/>
      <c r="AD2270" s="2"/>
      <c r="AH2270" t="s">
        <v>359</v>
      </c>
    </row>
    <row r="2271" spans="1:34" ht="15.75">
      <c r="A2271" s="29">
        <f t="shared" si="35"/>
        <v>790</v>
      </c>
      <c r="B2271" s="2">
        <v>452</v>
      </c>
      <c r="C2271" s="2">
        <v>8</v>
      </c>
      <c r="D2271" s="2">
        <v>1817</v>
      </c>
      <c r="E2271">
        <v>8532</v>
      </c>
      <c r="H2271" s="2" t="s">
        <v>1549</v>
      </c>
      <c r="I2271" s="2">
        <v>790</v>
      </c>
      <c r="J2271" s="2">
        <v>0</v>
      </c>
      <c r="K2271" s="2" t="s">
        <v>866</v>
      </c>
      <c r="L2271" s="43" t="s">
        <v>5244</v>
      </c>
      <c r="P2271" s="41">
        <v>16</v>
      </c>
      <c r="Q2271" s="41">
        <v>8</v>
      </c>
      <c r="R2271" s="41">
        <v>64</v>
      </c>
      <c r="S2271" t="s">
        <v>3321</v>
      </c>
      <c r="U2271" s="2"/>
      <c r="V2271" s="2"/>
      <c r="W2271" s="2"/>
      <c r="X2271" s="2"/>
      <c r="AA2271" s="2"/>
      <c r="AB2271" s="2"/>
      <c r="AD2271" s="2"/>
      <c r="AH2271" t="s">
        <v>359</v>
      </c>
    </row>
    <row r="2272" spans="1:34" ht="15.75">
      <c r="A2272" s="29">
        <f t="shared" si="35"/>
        <v>433</v>
      </c>
      <c r="B2272" s="2">
        <v>452</v>
      </c>
      <c r="C2272" s="2">
        <v>8</v>
      </c>
      <c r="D2272" s="2">
        <v>1817</v>
      </c>
      <c r="E2272">
        <v>8533</v>
      </c>
      <c r="H2272" s="2" t="s">
        <v>1541</v>
      </c>
      <c r="I2272" s="2">
        <v>433</v>
      </c>
      <c r="J2272" s="2">
        <v>0</v>
      </c>
      <c r="K2272" s="2" t="s">
        <v>866</v>
      </c>
      <c r="L2272" s="43" t="s">
        <v>5244</v>
      </c>
      <c r="P2272" s="41">
        <v>27</v>
      </c>
      <c r="Q2272" s="41">
        <v>5</v>
      </c>
      <c r="R2272" s="41" t="s">
        <v>1547</v>
      </c>
      <c r="S2272" s="2" t="s">
        <v>3329</v>
      </c>
      <c r="U2272" s="2"/>
      <c r="V2272" s="3"/>
      <c r="W2272" s="3"/>
      <c r="X2272" s="2"/>
      <c r="AA2272" s="3"/>
      <c r="AB2272" s="3"/>
      <c r="AD2272" s="2"/>
      <c r="AH2272" t="s">
        <v>359</v>
      </c>
    </row>
    <row r="2273" spans="1:34" ht="15.75">
      <c r="A2273" s="29">
        <f t="shared" si="35"/>
        <v>1136</v>
      </c>
      <c r="B2273" s="2">
        <v>452</v>
      </c>
      <c r="C2273" s="2">
        <v>8</v>
      </c>
      <c r="D2273" s="2">
        <v>1817</v>
      </c>
      <c r="E2273">
        <v>8534</v>
      </c>
      <c r="H2273" s="2" t="s">
        <v>1541</v>
      </c>
      <c r="I2273" s="2">
        <v>1136</v>
      </c>
      <c r="J2273" s="2">
        <v>0</v>
      </c>
      <c r="K2273" s="2" t="s">
        <v>866</v>
      </c>
      <c r="L2273" s="43" t="s">
        <v>5248</v>
      </c>
      <c r="P2273" s="41">
        <v>26</v>
      </c>
      <c r="Q2273" s="41">
        <v>7</v>
      </c>
      <c r="R2273" s="41">
        <v>69</v>
      </c>
      <c r="S2273" t="s">
        <v>3321</v>
      </c>
      <c r="U2273" s="2"/>
      <c r="V2273" s="2"/>
      <c r="W2273" s="2"/>
      <c r="X2273" s="2"/>
      <c r="Y2273" s="2"/>
      <c r="AA2273" s="2"/>
      <c r="AB2273" s="2"/>
      <c r="AH2273" t="s">
        <v>359</v>
      </c>
    </row>
    <row r="2274" spans="1:34" ht="15.75">
      <c r="A2274" s="29">
        <f t="shared" si="35"/>
        <v>13222</v>
      </c>
      <c r="B2274" s="2">
        <v>452</v>
      </c>
      <c r="C2274" s="2">
        <v>8</v>
      </c>
      <c r="D2274" s="2">
        <v>1817</v>
      </c>
      <c r="E2274">
        <v>8535</v>
      </c>
      <c r="H2274" s="2" t="s">
        <v>1541</v>
      </c>
      <c r="I2274" s="2">
        <v>13222</v>
      </c>
      <c r="J2274" s="2">
        <v>0</v>
      </c>
      <c r="K2274" s="2" t="s">
        <v>866</v>
      </c>
      <c r="L2274" s="43" t="s">
        <v>5248</v>
      </c>
      <c r="P2274" s="41">
        <v>21</v>
      </c>
      <c r="Q2274" s="41">
        <v>9</v>
      </c>
      <c r="R2274" s="41">
        <v>25</v>
      </c>
      <c r="S2274" t="s">
        <v>3321</v>
      </c>
      <c r="U2274" s="2"/>
      <c r="V2274" s="2"/>
      <c r="W2274" s="2"/>
      <c r="X2274" s="2"/>
      <c r="AA2274" s="2"/>
      <c r="AB2274" s="2"/>
      <c r="AD2274" s="2"/>
      <c r="AH2274" t="s">
        <v>359</v>
      </c>
    </row>
    <row r="2275" spans="1:34" ht="15.75">
      <c r="A2275" s="29">
        <f t="shared" si="35"/>
        <v>710</v>
      </c>
      <c r="B2275" s="2">
        <v>452</v>
      </c>
      <c r="C2275" s="2">
        <v>8</v>
      </c>
      <c r="D2275" s="2">
        <v>1817</v>
      </c>
      <c r="E2275">
        <v>8536</v>
      </c>
      <c r="H2275" s="2" t="s">
        <v>1541</v>
      </c>
      <c r="I2275" s="2">
        <v>710</v>
      </c>
      <c r="J2275" s="2">
        <v>0</v>
      </c>
      <c r="K2275" s="2" t="s">
        <v>866</v>
      </c>
      <c r="L2275" s="43" t="s">
        <v>5248</v>
      </c>
      <c r="P2275" s="41">
        <v>11</v>
      </c>
      <c r="Q2275" s="41">
        <v>11</v>
      </c>
      <c r="R2275" s="41">
        <v>70</v>
      </c>
      <c r="S2275" s="23" t="s">
        <v>3329</v>
      </c>
      <c r="U2275" s="2"/>
      <c r="V2275" s="2"/>
      <c r="W2275" s="2"/>
      <c r="X2275" s="2"/>
      <c r="AA2275" s="2"/>
      <c r="AB2275" s="2"/>
      <c r="AD2275" s="2"/>
      <c r="AH2275" t="s">
        <v>359</v>
      </c>
    </row>
    <row r="2276" spans="1:34" ht="15.75">
      <c r="A2276" s="29">
        <f t="shared" si="35"/>
        <v>1348</v>
      </c>
      <c r="B2276" s="2">
        <v>452</v>
      </c>
      <c r="C2276" s="2">
        <v>8</v>
      </c>
      <c r="D2276" s="2">
        <v>1817</v>
      </c>
      <c r="E2276">
        <v>8537</v>
      </c>
      <c r="H2276" s="2" t="s">
        <v>1541</v>
      </c>
      <c r="I2276" s="2">
        <v>1348</v>
      </c>
      <c r="J2276" s="2">
        <v>0</v>
      </c>
      <c r="K2276" s="2" t="s">
        <v>866</v>
      </c>
      <c r="L2276" s="43" t="s">
        <v>5257</v>
      </c>
      <c r="P2276" s="41">
        <v>13</v>
      </c>
      <c r="Q2276" s="41">
        <v>10</v>
      </c>
      <c r="R2276" s="41">
        <v>44</v>
      </c>
      <c r="S2276" s="2" t="s">
        <v>3343</v>
      </c>
      <c r="U2276" s="2"/>
      <c r="V2276" s="2"/>
      <c r="W2276" s="2"/>
      <c r="X2276" s="2"/>
      <c r="AA2276" s="2"/>
      <c r="AB2276" s="2"/>
      <c r="AD2276" s="2"/>
      <c r="AH2276" t="s">
        <v>359</v>
      </c>
    </row>
    <row r="2277" spans="1:34" ht="15.75">
      <c r="A2277" s="29">
        <f t="shared" si="35"/>
        <v>7</v>
      </c>
      <c r="B2277" s="2">
        <v>453</v>
      </c>
      <c r="C2277" s="2">
        <v>8</v>
      </c>
      <c r="D2277" s="2">
        <v>1817</v>
      </c>
      <c r="E2277">
        <v>8564</v>
      </c>
      <c r="H2277" t="s">
        <v>1541</v>
      </c>
      <c r="I2277" s="2">
        <v>7</v>
      </c>
      <c r="J2277" s="2">
        <v>0</v>
      </c>
      <c r="K2277" s="2" t="s">
        <v>866</v>
      </c>
      <c r="L2277" s="43" t="s">
        <v>5259</v>
      </c>
      <c r="P2277" s="41">
        <v>14</v>
      </c>
      <c r="Q2277" s="41">
        <v>12</v>
      </c>
      <c r="R2277" s="41" t="s">
        <v>868</v>
      </c>
      <c r="S2277" t="s">
        <v>1547</v>
      </c>
      <c r="AH2277" t="s">
        <v>359</v>
      </c>
    </row>
    <row r="2278" spans="1:34" ht="15.75">
      <c r="A2278" s="29">
        <f t="shared" si="35"/>
        <v>142</v>
      </c>
      <c r="B2278" s="2">
        <v>453</v>
      </c>
      <c r="C2278" s="2">
        <v>8</v>
      </c>
      <c r="D2278" s="2">
        <v>1817</v>
      </c>
      <c r="E2278">
        <v>8565</v>
      </c>
      <c r="H2278" t="s">
        <v>1541</v>
      </c>
      <c r="I2278" s="2">
        <v>142</v>
      </c>
      <c r="J2278" s="2">
        <v>0</v>
      </c>
      <c r="K2278" s="2" t="s">
        <v>866</v>
      </c>
      <c r="L2278" s="43" t="s">
        <v>5852</v>
      </c>
      <c r="P2278" s="41">
        <v>18</v>
      </c>
      <c r="Q2278" s="41">
        <v>3</v>
      </c>
      <c r="R2278" s="41">
        <v>73</v>
      </c>
      <c r="S2278" t="s">
        <v>3329</v>
      </c>
      <c r="AH2278" t="s">
        <v>359</v>
      </c>
    </row>
    <row r="2279" spans="1:34" ht="15.75">
      <c r="A2279" s="29">
        <f t="shared" si="35"/>
        <v>5400</v>
      </c>
      <c r="B2279" s="2">
        <v>453</v>
      </c>
      <c r="C2279" s="2">
        <v>8</v>
      </c>
      <c r="D2279" s="2">
        <v>1817</v>
      </c>
      <c r="E2279">
        <v>8566</v>
      </c>
      <c r="H2279" t="s">
        <v>1541</v>
      </c>
      <c r="I2279" s="2">
        <v>5400</v>
      </c>
      <c r="J2279" s="2">
        <v>0</v>
      </c>
      <c r="K2279" s="2" t="s">
        <v>866</v>
      </c>
      <c r="L2279" s="43" t="s">
        <v>5261</v>
      </c>
      <c r="P2279" s="41">
        <v>14</v>
      </c>
      <c r="Q2279" s="41">
        <v>7</v>
      </c>
      <c r="R2279" s="41">
        <v>31</v>
      </c>
      <c r="S2279" t="s">
        <v>3321</v>
      </c>
      <c r="AH2279" t="s">
        <v>359</v>
      </c>
    </row>
    <row r="2280" spans="1:34" ht="15.75">
      <c r="A2280" s="29">
        <f t="shared" si="35"/>
        <v>317</v>
      </c>
      <c r="B2280" s="2">
        <v>453</v>
      </c>
      <c r="C2280" s="2">
        <v>8</v>
      </c>
      <c r="D2280" s="2">
        <v>1817</v>
      </c>
      <c r="E2280">
        <v>8567</v>
      </c>
      <c r="H2280" t="s">
        <v>1540</v>
      </c>
      <c r="I2280" s="2">
        <v>317</v>
      </c>
      <c r="J2280" s="2">
        <v>0</v>
      </c>
      <c r="K2280" s="2" t="s">
        <v>866</v>
      </c>
      <c r="L2280" s="43" t="s">
        <v>5261</v>
      </c>
      <c r="P2280" s="41">
        <v>23</v>
      </c>
      <c r="Q2280" s="41">
        <v>7</v>
      </c>
      <c r="R2280" s="41">
        <v>55</v>
      </c>
      <c r="S2280" t="s">
        <v>3324</v>
      </c>
      <c r="AH2280" t="s">
        <v>359</v>
      </c>
    </row>
    <row r="2281" spans="1:34" ht="15.75">
      <c r="A2281" s="29">
        <f t="shared" si="35"/>
        <v>47274</v>
      </c>
      <c r="B2281" s="2">
        <v>453</v>
      </c>
      <c r="C2281" s="2">
        <v>8</v>
      </c>
      <c r="D2281" s="2">
        <v>1817</v>
      </c>
      <c r="E2281">
        <v>8568</v>
      </c>
      <c r="H2281" t="s">
        <v>850</v>
      </c>
      <c r="I2281" s="2">
        <v>47274</v>
      </c>
      <c r="J2281" s="2">
        <v>0</v>
      </c>
      <c r="K2281" s="2" t="s">
        <v>866</v>
      </c>
      <c r="L2281" s="43" t="s">
        <v>5500</v>
      </c>
      <c r="M2281" s="41" t="s">
        <v>4320</v>
      </c>
      <c r="O2281" s="41" t="s">
        <v>5501</v>
      </c>
      <c r="P2281" s="41">
        <v>17</v>
      </c>
      <c r="Q2281" s="41">
        <v>5</v>
      </c>
      <c r="R2281" s="41">
        <v>34</v>
      </c>
      <c r="S2281" t="s">
        <v>3321</v>
      </c>
      <c r="T2281" t="s">
        <v>2461</v>
      </c>
      <c r="V2281" t="s">
        <v>5502</v>
      </c>
      <c r="AH2281" t="s">
        <v>359</v>
      </c>
    </row>
    <row r="2282" spans="1:34" ht="15.75">
      <c r="A2282" s="29">
        <f t="shared" si="35"/>
        <v>3352</v>
      </c>
      <c r="B2282" s="2">
        <v>453</v>
      </c>
      <c r="C2282" s="2">
        <v>8</v>
      </c>
      <c r="D2282" s="2">
        <v>1817</v>
      </c>
      <c r="E2282">
        <v>8569</v>
      </c>
      <c r="H2282" t="s">
        <v>1541</v>
      </c>
      <c r="I2282" s="2">
        <v>3352</v>
      </c>
      <c r="J2282" s="2">
        <v>0</v>
      </c>
      <c r="K2282" s="2" t="s">
        <v>866</v>
      </c>
      <c r="L2282" s="43" t="s">
        <v>5503</v>
      </c>
      <c r="P2282" s="41">
        <v>25</v>
      </c>
      <c r="Q2282" s="41">
        <v>9</v>
      </c>
      <c r="R2282" s="41">
        <v>58</v>
      </c>
      <c r="S2282" t="s">
        <v>3321</v>
      </c>
      <c r="AH2282" t="s">
        <v>359</v>
      </c>
    </row>
    <row r="2283" spans="1:34" ht="15.75">
      <c r="A2283" s="29">
        <f t="shared" si="35"/>
        <v>8747</v>
      </c>
      <c r="B2283" s="2">
        <v>453</v>
      </c>
      <c r="C2283" s="2">
        <v>8</v>
      </c>
      <c r="D2283" s="2">
        <v>1817</v>
      </c>
      <c r="E2283">
        <v>8570</v>
      </c>
      <c r="H2283" t="s">
        <v>1540</v>
      </c>
      <c r="I2283" s="2">
        <v>8747</v>
      </c>
      <c r="J2283" s="2">
        <v>0</v>
      </c>
      <c r="K2283" s="2" t="s">
        <v>866</v>
      </c>
      <c r="L2283" s="43" t="s">
        <v>4923</v>
      </c>
      <c r="P2283" s="41">
        <v>9</v>
      </c>
      <c r="Q2283" s="41">
        <v>6</v>
      </c>
      <c r="R2283" s="41">
        <v>16</v>
      </c>
      <c r="S2283" t="s">
        <v>3343</v>
      </c>
      <c r="AH2283" t="s">
        <v>359</v>
      </c>
    </row>
    <row r="2284" spans="1:34" ht="15.75">
      <c r="A2284" s="29">
        <f t="shared" si="35"/>
        <v>384034</v>
      </c>
      <c r="B2284" s="2">
        <v>453</v>
      </c>
      <c r="C2284" s="2">
        <v>8</v>
      </c>
      <c r="D2284" s="2">
        <v>1817</v>
      </c>
      <c r="E2284">
        <v>8571</v>
      </c>
      <c r="H2284" t="s">
        <v>1540</v>
      </c>
      <c r="I2284" s="2">
        <f>57188+19062+307784</f>
        <v>384034</v>
      </c>
      <c r="J2284" s="2">
        <v>0</v>
      </c>
      <c r="K2284" s="2" t="s">
        <v>866</v>
      </c>
      <c r="L2284" s="43" t="s">
        <v>5504</v>
      </c>
      <c r="M2284" s="41" t="s">
        <v>4937</v>
      </c>
      <c r="N2284" s="41" t="s">
        <v>5053</v>
      </c>
      <c r="O2284" s="41" t="s">
        <v>5505</v>
      </c>
      <c r="P2284" s="41">
        <v>19</v>
      </c>
      <c r="Q2284" s="41">
        <v>3</v>
      </c>
      <c r="R2284" s="41">
        <v>51</v>
      </c>
      <c r="S2284" t="s">
        <v>5506</v>
      </c>
      <c r="T2284" t="s">
        <v>5507</v>
      </c>
      <c r="V2284" t="s">
        <v>3450</v>
      </c>
      <c r="AG2284" t="s">
        <v>5508</v>
      </c>
      <c r="AH2284" t="s">
        <v>359</v>
      </c>
    </row>
    <row r="2285" spans="1:34" ht="15.75">
      <c r="A2285" s="29">
        <f t="shared" si="35"/>
        <v>416</v>
      </c>
      <c r="B2285" s="2">
        <v>453</v>
      </c>
      <c r="C2285" s="2">
        <v>8</v>
      </c>
      <c r="D2285" s="2">
        <v>1817</v>
      </c>
      <c r="E2285">
        <v>8572</v>
      </c>
      <c r="H2285" t="s">
        <v>1540</v>
      </c>
      <c r="I2285" s="2">
        <v>416</v>
      </c>
      <c r="J2285" s="2">
        <v>0</v>
      </c>
      <c r="K2285" s="2" t="s">
        <v>866</v>
      </c>
      <c r="L2285" s="43" t="s">
        <v>3355</v>
      </c>
      <c r="P2285" s="41">
        <v>26</v>
      </c>
      <c r="Q2285" s="41">
        <v>5</v>
      </c>
      <c r="R2285" s="41">
        <v>46</v>
      </c>
      <c r="S2285" t="s">
        <v>3343</v>
      </c>
      <c r="AH2285" t="s">
        <v>359</v>
      </c>
    </row>
    <row r="2286" spans="1:34" ht="15.75">
      <c r="A2286" s="29">
        <f t="shared" si="35"/>
        <v>201400</v>
      </c>
      <c r="B2286" s="2" t="s">
        <v>5509</v>
      </c>
      <c r="C2286" s="2">
        <v>8</v>
      </c>
      <c r="D2286" s="2">
        <v>1817</v>
      </c>
      <c r="E2286">
        <v>8573</v>
      </c>
      <c r="H2286" t="s">
        <v>1541</v>
      </c>
      <c r="I2286" s="2">
        <v>0</v>
      </c>
      <c r="J2286" s="2">
        <v>10070</v>
      </c>
      <c r="K2286" s="2" t="s">
        <v>866</v>
      </c>
      <c r="L2286" s="43" t="s">
        <v>5510</v>
      </c>
      <c r="M2286" s="41" t="s">
        <v>5511</v>
      </c>
      <c r="O2286" s="41" t="s">
        <v>5512</v>
      </c>
      <c r="P2286" s="41">
        <v>13</v>
      </c>
      <c r="Q2286" s="41">
        <v>3</v>
      </c>
      <c r="S2286" t="s">
        <v>5513</v>
      </c>
      <c r="T2286" t="s">
        <v>5515</v>
      </c>
      <c r="U2286" t="s">
        <v>5514</v>
      </c>
      <c r="V2286" t="s">
        <v>3160</v>
      </c>
      <c r="X2286">
        <v>1</v>
      </c>
      <c r="Y2286" t="s">
        <v>5516</v>
      </c>
      <c r="AH2286" t="s">
        <v>359</v>
      </c>
    </row>
    <row r="2287" spans="1:34" ht="15.75">
      <c r="A2287" s="29">
        <f t="shared" si="35"/>
        <v>13779</v>
      </c>
      <c r="B2287" s="2">
        <v>454</v>
      </c>
      <c r="C2287" s="2">
        <v>8</v>
      </c>
      <c r="D2287" s="2">
        <v>1817</v>
      </c>
      <c r="E2287">
        <v>8598</v>
      </c>
      <c r="H2287" s="2" t="s">
        <v>1540</v>
      </c>
      <c r="I2287" s="2">
        <v>13779</v>
      </c>
      <c r="J2287" s="2">
        <v>0</v>
      </c>
      <c r="K2287" s="2" t="s">
        <v>866</v>
      </c>
      <c r="S2287" s="3"/>
      <c r="U2287" s="2"/>
      <c r="V2287" s="2"/>
      <c r="W2287" s="2"/>
      <c r="X2287" s="2"/>
      <c r="AA2287" s="3"/>
      <c r="AB2287" s="2"/>
      <c r="AD2287" s="2"/>
      <c r="AH2287" t="s">
        <v>359</v>
      </c>
    </row>
    <row r="2288" spans="1:34" ht="15.75">
      <c r="A2288" s="29">
        <f t="shared" si="35"/>
        <v>1076</v>
      </c>
      <c r="B2288" s="2">
        <v>454</v>
      </c>
      <c r="C2288" s="2">
        <v>8</v>
      </c>
      <c r="D2288" s="2">
        <v>1817</v>
      </c>
      <c r="E2288">
        <v>8599</v>
      </c>
      <c r="H2288" s="2" t="s">
        <v>1540</v>
      </c>
      <c r="I2288" s="2">
        <v>1076</v>
      </c>
      <c r="J2288" s="2">
        <v>0</v>
      </c>
      <c r="K2288" s="2" t="s">
        <v>866</v>
      </c>
      <c r="S2288" s="3"/>
      <c r="U2288" s="2"/>
      <c r="V2288" s="2"/>
      <c r="W2288" s="2"/>
      <c r="X2288" s="2"/>
      <c r="AA2288" s="3"/>
      <c r="AB2288" s="2"/>
      <c r="AD2288" s="2"/>
      <c r="AH2288" t="s">
        <v>359</v>
      </c>
    </row>
    <row r="2289" spans="1:34" ht="15.75">
      <c r="A2289" s="29">
        <f t="shared" si="35"/>
        <v>1644</v>
      </c>
      <c r="B2289" s="2">
        <v>454</v>
      </c>
      <c r="C2289" s="2">
        <v>8</v>
      </c>
      <c r="D2289" s="2">
        <v>1817</v>
      </c>
      <c r="E2289">
        <v>8600</v>
      </c>
      <c r="H2289" s="2" t="s">
        <v>1540</v>
      </c>
      <c r="I2289" s="2">
        <v>1644</v>
      </c>
      <c r="J2289" s="2">
        <v>0</v>
      </c>
      <c r="K2289" s="2" t="s">
        <v>866</v>
      </c>
      <c r="S2289" s="3"/>
      <c r="U2289" s="2"/>
      <c r="V2289" s="2"/>
      <c r="W2289" s="2"/>
      <c r="X2289" s="2"/>
      <c r="AA2289" s="3"/>
      <c r="AB2289" s="2"/>
      <c r="AD2289" s="2"/>
      <c r="AH2289" t="s">
        <v>359</v>
      </c>
    </row>
    <row r="2290" spans="1:34" ht="15.75">
      <c r="A2290" s="29">
        <f t="shared" si="35"/>
        <v>10058</v>
      </c>
      <c r="B2290" s="2">
        <v>454</v>
      </c>
      <c r="C2290" s="2">
        <v>8</v>
      </c>
      <c r="D2290" s="2">
        <v>1817</v>
      </c>
      <c r="E2290">
        <v>8601</v>
      </c>
      <c r="H2290" s="2" t="s">
        <v>1541</v>
      </c>
      <c r="I2290" s="2">
        <v>10058</v>
      </c>
      <c r="J2290" s="2">
        <v>0</v>
      </c>
      <c r="K2290" s="2" t="s">
        <v>866</v>
      </c>
      <c r="S2290" s="3"/>
      <c r="U2290" s="2"/>
      <c r="V2290" s="2"/>
      <c r="W2290" s="2"/>
      <c r="X2290" s="2"/>
      <c r="AA2290" s="3"/>
      <c r="AB2290" s="2"/>
      <c r="AD2290" s="2"/>
      <c r="AH2290" t="s">
        <v>359</v>
      </c>
    </row>
    <row r="2291" spans="1:34" ht="15.75">
      <c r="A2291" s="29">
        <f t="shared" si="35"/>
        <v>24</v>
      </c>
      <c r="B2291" s="2">
        <v>454</v>
      </c>
      <c r="C2291" s="2">
        <v>8</v>
      </c>
      <c r="D2291" s="2">
        <v>1817</v>
      </c>
      <c r="E2291">
        <v>8602</v>
      </c>
      <c r="H2291" s="2" t="s">
        <v>1540</v>
      </c>
      <c r="I2291" s="2">
        <v>24</v>
      </c>
      <c r="J2291" s="2">
        <v>0</v>
      </c>
      <c r="K2291" s="2" t="s">
        <v>866</v>
      </c>
      <c r="S2291" s="3"/>
      <c r="U2291" s="2"/>
      <c r="V2291" s="2"/>
      <c r="W2291" s="2"/>
      <c r="X2291" s="2"/>
      <c r="AA2291" s="3"/>
      <c r="AB2291" s="2"/>
      <c r="AD2291" s="2"/>
      <c r="AH2291" t="s">
        <v>359</v>
      </c>
    </row>
    <row r="2292" spans="1:34" ht="15.75">
      <c r="A2292" s="29">
        <f t="shared" si="35"/>
        <v>2120</v>
      </c>
      <c r="B2292" s="2">
        <v>454</v>
      </c>
      <c r="C2292" s="2">
        <v>8</v>
      </c>
      <c r="D2292" s="2">
        <v>1817</v>
      </c>
      <c r="E2292">
        <v>8603</v>
      </c>
      <c r="H2292" s="2" t="s">
        <v>1540</v>
      </c>
      <c r="I2292" s="2">
        <f>520+1600</f>
        <v>2120</v>
      </c>
      <c r="J2292" s="2">
        <v>0</v>
      </c>
      <c r="K2292" s="2" t="s">
        <v>866</v>
      </c>
      <c r="S2292" s="3"/>
      <c r="U2292" s="2"/>
      <c r="V2292" s="2"/>
      <c r="W2292" s="2"/>
      <c r="X2292" s="2"/>
      <c r="AA2292" s="3"/>
      <c r="AB2292" s="2"/>
      <c r="AD2292" s="2"/>
      <c r="AH2292" t="s">
        <v>359</v>
      </c>
    </row>
    <row r="2293" spans="1:34" ht="15.75">
      <c r="A2293" s="29">
        <f t="shared" si="35"/>
        <v>612</v>
      </c>
      <c r="B2293" s="2">
        <v>454</v>
      </c>
      <c r="C2293" s="2">
        <v>8</v>
      </c>
      <c r="D2293" s="2">
        <v>1817</v>
      </c>
      <c r="E2293">
        <v>8604</v>
      </c>
      <c r="H2293" s="2" t="s">
        <v>1540</v>
      </c>
      <c r="I2293" s="2">
        <v>612</v>
      </c>
      <c r="J2293" s="2">
        <v>0</v>
      </c>
      <c r="K2293" s="2" t="s">
        <v>866</v>
      </c>
      <c r="S2293" s="2"/>
      <c r="U2293" s="2"/>
      <c r="V2293" s="2"/>
      <c r="W2293" s="2"/>
      <c r="X2293" s="2"/>
      <c r="AA2293" s="3"/>
      <c r="AB2293" s="2"/>
      <c r="AD2293" s="2"/>
      <c r="AH2293" t="s">
        <v>359</v>
      </c>
    </row>
    <row r="2294" spans="1:34" ht="15.75">
      <c r="A2294" s="29">
        <f t="shared" si="35"/>
        <v>633</v>
      </c>
      <c r="B2294" s="2">
        <v>454</v>
      </c>
      <c r="C2294" s="2">
        <v>8</v>
      </c>
      <c r="D2294" s="2">
        <v>1817</v>
      </c>
      <c r="E2294">
        <v>8605</v>
      </c>
      <c r="H2294" s="2" t="s">
        <v>1541</v>
      </c>
      <c r="I2294" s="2">
        <v>633</v>
      </c>
      <c r="J2294" s="2">
        <v>0</v>
      </c>
      <c r="K2294" s="2" t="s">
        <v>866</v>
      </c>
      <c r="S2294" s="3"/>
      <c r="U2294" s="2"/>
      <c r="V2294" s="2"/>
      <c r="W2294" s="2"/>
      <c r="X2294" s="2"/>
      <c r="AA2294" s="3"/>
      <c r="AB2294" s="2"/>
      <c r="AD2294" s="2"/>
      <c r="AH2294" t="s">
        <v>359</v>
      </c>
    </row>
    <row r="2295" spans="1:34" ht="15.75">
      <c r="A2295" s="29">
        <f t="shared" si="35"/>
        <v>126</v>
      </c>
      <c r="B2295" s="2">
        <v>454</v>
      </c>
      <c r="C2295" s="2">
        <v>8</v>
      </c>
      <c r="D2295" s="2">
        <v>1817</v>
      </c>
      <c r="E2295">
        <v>8606</v>
      </c>
      <c r="H2295" s="2" t="s">
        <v>1541</v>
      </c>
      <c r="I2295" s="2">
        <v>126</v>
      </c>
      <c r="J2295" s="2">
        <v>0</v>
      </c>
      <c r="K2295" s="2" t="s">
        <v>866</v>
      </c>
      <c r="S2295" s="3"/>
      <c r="U2295" s="2"/>
      <c r="V2295" s="2"/>
      <c r="W2295" s="2"/>
      <c r="X2295" s="2"/>
      <c r="AA2295" s="3"/>
      <c r="AB2295" s="2"/>
      <c r="AD2295" s="2"/>
      <c r="AH2295" t="s">
        <v>359</v>
      </c>
    </row>
    <row r="2296" spans="1:34" ht="15.75">
      <c r="A2296" s="29">
        <f t="shared" si="35"/>
        <v>392</v>
      </c>
      <c r="B2296" s="2">
        <v>454</v>
      </c>
      <c r="C2296" s="2">
        <v>8</v>
      </c>
      <c r="D2296" s="2">
        <v>1817</v>
      </c>
      <c r="E2296">
        <v>8607</v>
      </c>
      <c r="H2296" s="2" t="s">
        <v>1541</v>
      </c>
      <c r="I2296" s="2">
        <v>392</v>
      </c>
      <c r="J2296" s="2">
        <v>0</v>
      </c>
      <c r="K2296" s="2" t="s">
        <v>866</v>
      </c>
      <c r="S2296" s="3"/>
      <c r="U2296" s="2"/>
      <c r="V2296" s="2"/>
      <c r="W2296" s="2"/>
      <c r="X2296" s="2"/>
      <c r="AA2296" s="3"/>
      <c r="AB2296" s="2"/>
      <c r="AD2296" s="2"/>
      <c r="AH2296" t="s">
        <v>359</v>
      </c>
    </row>
    <row r="2297" spans="1:34" ht="15.75">
      <c r="A2297" s="29">
        <f t="shared" si="35"/>
        <v>3542</v>
      </c>
      <c r="B2297" s="2">
        <v>454</v>
      </c>
      <c r="C2297" s="2">
        <v>8</v>
      </c>
      <c r="D2297" s="2">
        <v>1817</v>
      </c>
      <c r="E2297">
        <v>8608</v>
      </c>
      <c r="H2297" s="2" t="s">
        <v>1540</v>
      </c>
      <c r="I2297" s="2">
        <v>3542</v>
      </c>
      <c r="J2297" s="2">
        <v>0</v>
      </c>
      <c r="K2297" s="2" t="s">
        <v>866</v>
      </c>
      <c r="S2297" s="2"/>
      <c r="U2297" s="2"/>
      <c r="V2297" s="2"/>
      <c r="W2297" s="2"/>
      <c r="X2297" s="2"/>
      <c r="AA2297" s="3"/>
      <c r="AB2297" s="2"/>
      <c r="AD2297" s="2"/>
      <c r="AH2297" t="s">
        <v>359</v>
      </c>
    </row>
    <row r="2298" spans="1:34" ht="15.75">
      <c r="A2298" s="29">
        <f t="shared" si="35"/>
        <v>307</v>
      </c>
      <c r="B2298" s="2">
        <v>455</v>
      </c>
      <c r="C2298" s="2">
        <v>8</v>
      </c>
      <c r="D2298" s="2">
        <v>1817</v>
      </c>
      <c r="E2298">
        <v>8639</v>
      </c>
      <c r="H2298" s="2" t="s">
        <v>1540</v>
      </c>
      <c r="I2298" s="2">
        <v>307</v>
      </c>
      <c r="J2298" s="2">
        <v>0</v>
      </c>
      <c r="K2298" s="2" t="s">
        <v>866</v>
      </c>
      <c r="L2298" s="43" t="s">
        <v>5270</v>
      </c>
      <c r="P2298" s="41">
        <v>13</v>
      </c>
      <c r="Q2298" s="41">
        <v>6</v>
      </c>
      <c r="R2298" s="41">
        <v>67</v>
      </c>
      <c r="S2298" t="s">
        <v>3321</v>
      </c>
      <c r="U2298" s="2"/>
      <c r="V2298" s="2"/>
      <c r="W2298" s="2"/>
      <c r="X2298" s="2"/>
      <c r="AA2298" s="2"/>
      <c r="AB2298" s="2"/>
      <c r="AD2298" s="2"/>
      <c r="AH2298" t="s">
        <v>359</v>
      </c>
    </row>
    <row r="2299" spans="1:34" ht="15.75">
      <c r="A2299" s="29">
        <f t="shared" si="35"/>
        <v>10302</v>
      </c>
      <c r="B2299" s="2">
        <v>455</v>
      </c>
      <c r="C2299" s="2">
        <v>8</v>
      </c>
      <c r="D2299" s="2">
        <v>1817</v>
      </c>
      <c r="E2299">
        <v>8640</v>
      </c>
      <c r="H2299" s="2" t="s">
        <v>1541</v>
      </c>
      <c r="I2299" s="2">
        <v>10302</v>
      </c>
      <c r="J2299" s="2">
        <v>0</v>
      </c>
      <c r="K2299" s="2" t="s">
        <v>866</v>
      </c>
      <c r="L2299" s="43" t="s">
        <v>5270</v>
      </c>
      <c r="P2299" s="41">
        <v>10</v>
      </c>
      <c r="Q2299" s="41">
        <v>11</v>
      </c>
      <c r="R2299" s="41">
        <v>27</v>
      </c>
      <c r="S2299" t="s">
        <v>3321</v>
      </c>
      <c r="U2299" s="2"/>
      <c r="V2299" s="3"/>
      <c r="W2299" s="3"/>
      <c r="X2299" s="2"/>
      <c r="AA2299" s="3"/>
      <c r="AB2299" s="3"/>
      <c r="AD2299" s="2"/>
      <c r="AH2299" t="s">
        <v>359</v>
      </c>
    </row>
    <row r="2300" spans="1:34" ht="15.75">
      <c r="A2300" s="29">
        <f t="shared" si="35"/>
        <v>780</v>
      </c>
      <c r="B2300" s="2">
        <v>455</v>
      </c>
      <c r="C2300" s="2">
        <v>8</v>
      </c>
      <c r="D2300" s="2">
        <v>1817</v>
      </c>
      <c r="E2300">
        <v>8641</v>
      </c>
      <c r="H2300" s="2" t="s">
        <v>1540</v>
      </c>
      <c r="I2300" s="2">
        <v>780</v>
      </c>
      <c r="J2300" s="2">
        <v>0</v>
      </c>
      <c r="K2300" s="2" t="s">
        <v>866</v>
      </c>
      <c r="L2300" s="43" t="s">
        <v>5270</v>
      </c>
      <c r="P2300" s="41">
        <v>9</v>
      </c>
      <c r="Q2300" s="41">
        <v>10</v>
      </c>
      <c r="R2300" s="41">
        <v>78</v>
      </c>
      <c r="S2300" t="s">
        <v>3321</v>
      </c>
      <c r="U2300" s="2"/>
      <c r="V2300" s="27"/>
      <c r="W2300" s="27"/>
      <c r="X2300" s="2"/>
      <c r="AA2300" s="2"/>
      <c r="AB2300" s="2"/>
      <c r="AD2300" s="2"/>
      <c r="AH2300" t="s">
        <v>359</v>
      </c>
    </row>
    <row r="2301" spans="1:34" ht="15.75">
      <c r="A2301" s="29">
        <f t="shared" si="35"/>
        <v>40277</v>
      </c>
      <c r="B2301" s="2">
        <v>455</v>
      </c>
      <c r="C2301" s="2">
        <v>8</v>
      </c>
      <c r="D2301" s="2">
        <v>1817</v>
      </c>
      <c r="E2301">
        <v>8642</v>
      </c>
      <c r="H2301" s="2" t="s">
        <v>1540</v>
      </c>
      <c r="I2301" s="2">
        <v>40277</v>
      </c>
      <c r="J2301" s="2">
        <v>0</v>
      </c>
      <c r="K2301" s="2" t="s">
        <v>866</v>
      </c>
      <c r="L2301" s="43" t="s">
        <v>5517</v>
      </c>
      <c r="M2301" s="41" t="s">
        <v>1730</v>
      </c>
      <c r="N2301" s="41" t="s">
        <v>5518</v>
      </c>
      <c r="O2301" s="41" t="s">
        <v>5519</v>
      </c>
      <c r="P2301" s="41">
        <v>26</v>
      </c>
      <c r="Q2301" s="41">
        <v>12</v>
      </c>
      <c r="R2301" s="41">
        <v>42</v>
      </c>
      <c r="S2301" s="23" t="s">
        <v>847</v>
      </c>
      <c r="T2301" s="2" t="s">
        <v>5520</v>
      </c>
      <c r="V2301" s="2" t="s">
        <v>848</v>
      </c>
      <c r="W2301" s="2"/>
      <c r="X2301" s="2"/>
      <c r="Y2301" s="2"/>
      <c r="AA2301" s="3"/>
      <c r="AB2301" s="3"/>
      <c r="AH2301" t="s">
        <v>359</v>
      </c>
    </row>
    <row r="2302" spans="1:34" ht="15.75">
      <c r="A2302" s="29">
        <f t="shared" si="35"/>
        <v>10500</v>
      </c>
      <c r="B2302" s="2">
        <v>455</v>
      </c>
      <c r="C2302" s="2">
        <v>8</v>
      </c>
      <c r="D2302" s="2">
        <v>1817</v>
      </c>
      <c r="E2302">
        <v>8643</v>
      </c>
      <c r="H2302" s="2" t="s">
        <v>1540</v>
      </c>
      <c r="I2302" s="2">
        <v>10500</v>
      </c>
      <c r="J2302" s="2">
        <v>0</v>
      </c>
      <c r="K2302" s="2" t="s">
        <v>866</v>
      </c>
      <c r="L2302" s="43" t="s">
        <v>5850</v>
      </c>
      <c r="P2302" s="41">
        <v>16</v>
      </c>
      <c r="Q2302" s="41">
        <v>12</v>
      </c>
      <c r="R2302" s="41">
        <v>40</v>
      </c>
      <c r="S2302" s="23" t="s">
        <v>3343</v>
      </c>
      <c r="U2302" s="2"/>
      <c r="V2302" s="2"/>
      <c r="W2302" s="2"/>
      <c r="X2302" s="2"/>
      <c r="AA2302" s="2"/>
      <c r="AB2302" s="2"/>
      <c r="AD2302" s="2"/>
      <c r="AH2302" t="s">
        <v>359</v>
      </c>
    </row>
    <row r="2303" spans="1:34" ht="15.75">
      <c r="A2303" s="29">
        <f t="shared" si="35"/>
        <v>6756</v>
      </c>
      <c r="B2303" s="2">
        <v>455</v>
      </c>
      <c r="C2303" s="2">
        <v>8</v>
      </c>
      <c r="D2303" s="2">
        <v>1817</v>
      </c>
      <c r="E2303">
        <v>8645</v>
      </c>
      <c r="H2303" s="2" t="s">
        <v>1541</v>
      </c>
      <c r="I2303" s="2">
        <f>2802+3954</f>
        <v>6756</v>
      </c>
      <c r="J2303" s="2">
        <v>0</v>
      </c>
      <c r="K2303" s="2" t="s">
        <v>866</v>
      </c>
      <c r="L2303" s="43" t="s">
        <v>4739</v>
      </c>
      <c r="P2303" s="41">
        <v>6</v>
      </c>
      <c r="Q2303" s="41">
        <v>5</v>
      </c>
      <c r="R2303" s="41">
        <v>32</v>
      </c>
      <c r="S2303" t="s">
        <v>3321</v>
      </c>
      <c r="U2303" s="2"/>
      <c r="V2303" s="25"/>
      <c r="W2303" s="25"/>
      <c r="X2303" s="2"/>
      <c r="AA2303" s="2"/>
      <c r="AB2303" s="2"/>
      <c r="AD2303" s="2"/>
      <c r="AH2303" t="s">
        <v>359</v>
      </c>
    </row>
    <row r="2304" spans="1:34" ht="15.75">
      <c r="A2304" s="29">
        <f t="shared" si="35"/>
        <v>138</v>
      </c>
      <c r="B2304" s="2">
        <v>455</v>
      </c>
      <c r="C2304" s="2">
        <v>8</v>
      </c>
      <c r="D2304" s="2">
        <v>1817</v>
      </c>
      <c r="E2304">
        <v>8646</v>
      </c>
      <c r="H2304" s="2" t="s">
        <v>1540</v>
      </c>
      <c r="I2304" s="2">
        <v>138</v>
      </c>
      <c r="J2304" s="2">
        <v>0</v>
      </c>
      <c r="K2304" s="2" t="s">
        <v>866</v>
      </c>
      <c r="L2304" s="43" t="s">
        <v>4739</v>
      </c>
      <c r="P2304" s="41">
        <v>26</v>
      </c>
      <c r="Q2304" s="41">
        <v>12</v>
      </c>
      <c r="R2304" s="41">
        <v>64</v>
      </c>
      <c r="S2304" t="s">
        <v>3321</v>
      </c>
      <c r="U2304" s="2"/>
      <c r="V2304" s="2"/>
      <c r="W2304" s="2"/>
      <c r="X2304" s="2"/>
      <c r="AA2304" s="3"/>
      <c r="AB2304" s="2"/>
      <c r="AD2304" s="2"/>
      <c r="AH2304" t="s">
        <v>359</v>
      </c>
    </row>
    <row r="2305" spans="1:34" ht="15.75">
      <c r="A2305" s="29">
        <f t="shared" si="35"/>
        <v>1677</v>
      </c>
      <c r="B2305" s="2">
        <v>455</v>
      </c>
      <c r="C2305" s="2">
        <v>8</v>
      </c>
      <c r="D2305" s="2">
        <v>1817</v>
      </c>
      <c r="E2305">
        <v>8647</v>
      </c>
      <c r="H2305" s="2" t="s">
        <v>1540</v>
      </c>
      <c r="I2305" s="2">
        <v>1677</v>
      </c>
      <c r="J2305" s="2">
        <v>0</v>
      </c>
      <c r="K2305" s="2" t="s">
        <v>866</v>
      </c>
      <c r="L2305" s="43" t="s">
        <v>4739</v>
      </c>
      <c r="P2305" s="41">
        <v>13</v>
      </c>
      <c r="Q2305" s="41">
        <v>10</v>
      </c>
      <c r="R2305" s="41">
        <v>67</v>
      </c>
      <c r="S2305" t="s">
        <v>3321</v>
      </c>
      <c r="U2305" s="2"/>
      <c r="V2305" s="2"/>
      <c r="W2305" s="2"/>
      <c r="X2305" s="2"/>
      <c r="AA2305" s="3"/>
      <c r="AB2305" s="2"/>
      <c r="AD2305" s="2"/>
      <c r="AH2305" t="s">
        <v>359</v>
      </c>
    </row>
    <row r="2306" spans="1:34" ht="15.75">
      <c r="A2306" s="29">
        <f aca="true" t="shared" si="36" ref="A2306:A2369">I2306+J2306*20*X2306</f>
        <v>769</v>
      </c>
      <c r="B2306" s="2">
        <v>455</v>
      </c>
      <c r="C2306" s="2">
        <v>8</v>
      </c>
      <c r="D2306" s="2">
        <v>1817</v>
      </c>
      <c r="E2306">
        <v>8649</v>
      </c>
      <c r="H2306" s="2" t="s">
        <v>1540</v>
      </c>
      <c r="I2306" s="2">
        <v>769</v>
      </c>
      <c r="J2306" s="2">
        <v>0</v>
      </c>
      <c r="K2306" s="2" t="s">
        <v>866</v>
      </c>
      <c r="L2306" s="43" t="s">
        <v>5284</v>
      </c>
      <c r="P2306" s="41">
        <v>21</v>
      </c>
      <c r="Q2306" s="41">
        <v>9</v>
      </c>
      <c r="R2306" s="41">
        <v>66</v>
      </c>
      <c r="S2306" t="s">
        <v>3321</v>
      </c>
      <c r="U2306" s="2"/>
      <c r="V2306" s="2"/>
      <c r="W2306" s="2"/>
      <c r="X2306" s="2"/>
      <c r="AA2306" s="3"/>
      <c r="AB2306" s="2"/>
      <c r="AD2306" s="2"/>
      <c r="AH2306" t="s">
        <v>359</v>
      </c>
    </row>
    <row r="2307" spans="1:34" ht="15.75">
      <c r="A2307" s="29">
        <f t="shared" si="36"/>
        <v>680</v>
      </c>
      <c r="B2307" s="2">
        <v>456</v>
      </c>
      <c r="C2307" s="2">
        <v>8</v>
      </c>
      <c r="D2307" s="2">
        <v>1817</v>
      </c>
      <c r="E2307">
        <v>8683</v>
      </c>
      <c r="H2307" t="s">
        <v>1540</v>
      </c>
      <c r="I2307" s="2">
        <v>680</v>
      </c>
      <c r="J2307" s="2">
        <v>0</v>
      </c>
      <c r="K2307" s="2" t="s">
        <v>866</v>
      </c>
      <c r="L2307" s="43" t="s">
        <v>5286</v>
      </c>
      <c r="P2307" s="41">
        <v>20</v>
      </c>
      <c r="Q2307" s="41">
        <v>3</v>
      </c>
      <c r="R2307" s="41">
        <v>66</v>
      </c>
      <c r="S2307" t="s">
        <v>3321</v>
      </c>
      <c r="AH2307" t="s">
        <v>359</v>
      </c>
    </row>
    <row r="2308" spans="1:34" ht="15.75">
      <c r="A2308" s="29">
        <f t="shared" si="36"/>
        <v>363</v>
      </c>
      <c r="B2308" s="2">
        <v>456</v>
      </c>
      <c r="C2308" s="2">
        <v>8</v>
      </c>
      <c r="D2308" s="2">
        <v>1817</v>
      </c>
      <c r="E2308">
        <v>8685</v>
      </c>
      <c r="H2308" t="s">
        <v>1540</v>
      </c>
      <c r="I2308" s="2">
        <v>363</v>
      </c>
      <c r="J2308" s="2">
        <v>0</v>
      </c>
      <c r="K2308" s="2" t="s">
        <v>866</v>
      </c>
      <c r="L2308" s="43" t="s">
        <v>5532</v>
      </c>
      <c r="P2308" s="41">
        <v>25</v>
      </c>
      <c r="Q2308" s="41">
        <v>10</v>
      </c>
      <c r="R2308" s="41">
        <v>49</v>
      </c>
      <c r="S2308" t="s">
        <v>3321</v>
      </c>
      <c r="AH2308" t="s">
        <v>359</v>
      </c>
    </row>
    <row r="2309" spans="1:34" ht="15.75">
      <c r="A2309" s="29">
        <f t="shared" si="36"/>
        <v>1739</v>
      </c>
      <c r="B2309" s="2">
        <v>456</v>
      </c>
      <c r="C2309" s="2">
        <v>8</v>
      </c>
      <c r="D2309" s="2">
        <v>1817</v>
      </c>
      <c r="E2309">
        <v>8686</v>
      </c>
      <c r="H2309" t="s">
        <v>1541</v>
      </c>
      <c r="I2309" s="2">
        <v>1739</v>
      </c>
      <c r="J2309" s="2">
        <v>0</v>
      </c>
      <c r="K2309" s="2" t="s">
        <v>866</v>
      </c>
      <c r="L2309" s="43" t="s">
        <v>5290</v>
      </c>
      <c r="P2309" s="41">
        <v>30</v>
      </c>
      <c r="Q2309" s="41">
        <v>9</v>
      </c>
      <c r="R2309" s="41">
        <v>34</v>
      </c>
      <c r="S2309" t="s">
        <v>3343</v>
      </c>
      <c r="AH2309" t="s">
        <v>359</v>
      </c>
    </row>
    <row r="2310" spans="1:34" ht="15.75">
      <c r="A2310" s="29">
        <f t="shared" si="36"/>
        <v>115</v>
      </c>
      <c r="B2310" s="2">
        <v>456</v>
      </c>
      <c r="C2310" s="2">
        <v>8</v>
      </c>
      <c r="D2310" s="2">
        <v>1817</v>
      </c>
      <c r="E2310">
        <v>8688</v>
      </c>
      <c r="H2310" t="s">
        <v>1540</v>
      </c>
      <c r="I2310" s="2">
        <v>115</v>
      </c>
      <c r="J2310" s="2">
        <v>0</v>
      </c>
      <c r="K2310" s="2" t="s">
        <v>866</v>
      </c>
      <c r="L2310" s="43" t="s">
        <v>5291</v>
      </c>
      <c r="P2310" s="41">
        <v>23</v>
      </c>
      <c r="Q2310" s="41">
        <v>5</v>
      </c>
      <c r="R2310" s="41">
        <v>31</v>
      </c>
      <c r="S2310" t="s">
        <v>3343</v>
      </c>
      <c r="X2310" s="5"/>
      <c r="AH2310" t="s">
        <v>359</v>
      </c>
    </row>
    <row r="2311" spans="1:34" ht="15.75">
      <c r="A2311" s="29">
        <f t="shared" si="36"/>
        <v>2000</v>
      </c>
      <c r="B2311" s="2">
        <v>456</v>
      </c>
      <c r="C2311" s="2">
        <v>8</v>
      </c>
      <c r="D2311" s="2">
        <v>1817</v>
      </c>
      <c r="E2311">
        <v>8689</v>
      </c>
      <c r="H2311" t="s">
        <v>1540</v>
      </c>
      <c r="I2311" s="2">
        <v>0</v>
      </c>
      <c r="J2311" s="2">
        <f>2000/20</f>
        <v>100</v>
      </c>
      <c r="K2311" s="2" t="s">
        <v>866</v>
      </c>
      <c r="L2311" s="43" t="s">
        <v>5998</v>
      </c>
      <c r="P2311" s="41">
        <v>25</v>
      </c>
      <c r="Q2311" s="41">
        <v>8</v>
      </c>
      <c r="R2311" s="41" t="s">
        <v>868</v>
      </c>
      <c r="S2311" t="s">
        <v>3321</v>
      </c>
      <c r="X2311">
        <v>1</v>
      </c>
      <c r="Y2311" t="s">
        <v>5533</v>
      </c>
      <c r="AG2311" t="s">
        <v>5534</v>
      </c>
      <c r="AH2311" t="s">
        <v>359</v>
      </c>
    </row>
    <row r="2312" spans="1:34" ht="15.75">
      <c r="A2312" s="29">
        <f t="shared" si="36"/>
        <v>153</v>
      </c>
      <c r="B2312" s="2">
        <v>456</v>
      </c>
      <c r="C2312" s="2">
        <v>8</v>
      </c>
      <c r="D2312" s="2">
        <v>1817</v>
      </c>
      <c r="E2312">
        <v>8690</v>
      </c>
      <c r="H2312" t="s">
        <v>1541</v>
      </c>
      <c r="I2312" s="2">
        <v>153</v>
      </c>
      <c r="J2312" s="2">
        <v>0</v>
      </c>
      <c r="K2312" s="2" t="s">
        <v>866</v>
      </c>
      <c r="L2312" s="43" t="s">
        <v>5295</v>
      </c>
      <c r="P2312" s="41">
        <v>8</v>
      </c>
      <c r="Q2312" s="41">
        <v>3</v>
      </c>
      <c r="R2312" s="41">
        <v>21</v>
      </c>
      <c r="S2312" t="s">
        <v>3321</v>
      </c>
      <c r="AH2312" t="s">
        <v>359</v>
      </c>
    </row>
    <row r="2313" spans="1:34" ht="15.75">
      <c r="A2313" s="29">
        <f t="shared" si="36"/>
        <v>221</v>
      </c>
      <c r="B2313" s="2">
        <v>456</v>
      </c>
      <c r="C2313" s="2">
        <v>8</v>
      </c>
      <c r="D2313" s="2">
        <v>1817</v>
      </c>
      <c r="E2313">
        <v>8691</v>
      </c>
      <c r="H2313" t="s">
        <v>1541</v>
      </c>
      <c r="I2313" s="2">
        <v>221</v>
      </c>
      <c r="J2313" s="2">
        <v>0</v>
      </c>
      <c r="K2313" s="2" t="s">
        <v>866</v>
      </c>
      <c r="L2313" s="43" t="s">
        <v>4322</v>
      </c>
      <c r="P2313" s="41">
        <v>24</v>
      </c>
      <c r="Q2313" s="41">
        <v>3</v>
      </c>
      <c r="R2313" s="41">
        <v>72</v>
      </c>
      <c r="S2313" t="s">
        <v>5227</v>
      </c>
      <c r="AH2313" t="s">
        <v>359</v>
      </c>
    </row>
    <row r="2314" spans="1:34" ht="15.75">
      <c r="A2314" s="29">
        <f t="shared" si="36"/>
        <v>7527</v>
      </c>
      <c r="B2314" s="2">
        <v>456</v>
      </c>
      <c r="C2314" s="2">
        <v>8</v>
      </c>
      <c r="D2314" s="2">
        <v>1817</v>
      </c>
      <c r="E2314">
        <v>8692</v>
      </c>
      <c r="H2314" t="s">
        <v>1541</v>
      </c>
      <c r="I2314" s="2">
        <v>7527</v>
      </c>
      <c r="J2314" s="2">
        <v>0</v>
      </c>
      <c r="K2314" s="2" t="s">
        <v>866</v>
      </c>
      <c r="L2314" s="43" t="s">
        <v>5296</v>
      </c>
      <c r="P2314" s="41">
        <v>8</v>
      </c>
      <c r="Q2314" s="41">
        <v>12</v>
      </c>
      <c r="R2314" s="41">
        <v>65</v>
      </c>
      <c r="S2314" t="s">
        <v>3329</v>
      </c>
      <c r="AH2314" t="s">
        <v>359</v>
      </c>
    </row>
    <row r="2315" spans="1:34" ht="15.75">
      <c r="A2315" s="29">
        <f t="shared" si="36"/>
        <v>549</v>
      </c>
      <c r="B2315" s="2">
        <v>457</v>
      </c>
      <c r="C2315" s="2">
        <v>8</v>
      </c>
      <c r="D2315" s="2">
        <v>1817</v>
      </c>
      <c r="E2315">
        <v>8720</v>
      </c>
      <c r="H2315" t="s">
        <v>1540</v>
      </c>
      <c r="I2315" s="2">
        <v>549</v>
      </c>
      <c r="J2315" s="2">
        <v>0</v>
      </c>
      <c r="K2315" s="2" t="s">
        <v>867</v>
      </c>
      <c r="L2315" s="43" t="s">
        <v>2898</v>
      </c>
      <c r="P2315" s="41">
        <v>17</v>
      </c>
      <c r="Q2315" s="41">
        <v>8</v>
      </c>
      <c r="R2315" s="41">
        <v>33</v>
      </c>
      <c r="S2315" t="s">
        <v>3321</v>
      </c>
      <c r="AH2315" t="s">
        <v>359</v>
      </c>
    </row>
    <row r="2316" spans="1:34" ht="15.75">
      <c r="A2316" s="29">
        <f t="shared" si="36"/>
        <v>96</v>
      </c>
      <c r="B2316" s="2">
        <v>457</v>
      </c>
      <c r="C2316" s="2">
        <v>8</v>
      </c>
      <c r="D2316" s="2">
        <v>1817</v>
      </c>
      <c r="E2316">
        <v>8721</v>
      </c>
      <c r="H2316" t="s">
        <v>1540</v>
      </c>
      <c r="I2316" s="2">
        <v>96</v>
      </c>
      <c r="J2316" s="2">
        <v>0</v>
      </c>
      <c r="K2316" s="2" t="s">
        <v>867</v>
      </c>
      <c r="L2316" s="43" t="s">
        <v>3609</v>
      </c>
      <c r="P2316" s="41">
        <v>30</v>
      </c>
      <c r="Q2316" s="41">
        <v>3</v>
      </c>
      <c r="R2316" s="41">
        <v>63</v>
      </c>
      <c r="S2316" t="s">
        <v>3324</v>
      </c>
      <c r="AH2316" t="s">
        <v>359</v>
      </c>
    </row>
    <row r="2317" spans="1:34" ht="15.75">
      <c r="A2317" s="29">
        <f t="shared" si="36"/>
        <v>3253</v>
      </c>
      <c r="B2317" s="2">
        <v>457</v>
      </c>
      <c r="C2317" s="2">
        <v>8</v>
      </c>
      <c r="D2317" s="2">
        <v>1817</v>
      </c>
      <c r="E2317">
        <v>8722</v>
      </c>
      <c r="H2317" t="s">
        <v>1541</v>
      </c>
      <c r="I2317" s="2">
        <v>3253</v>
      </c>
      <c r="J2317" s="2">
        <v>0</v>
      </c>
      <c r="K2317" s="2" t="s">
        <v>867</v>
      </c>
      <c r="L2317" s="43" t="s">
        <v>3609</v>
      </c>
      <c r="P2317" s="41">
        <v>7</v>
      </c>
      <c r="Q2317" s="41">
        <v>10</v>
      </c>
      <c r="R2317" s="41">
        <v>38</v>
      </c>
      <c r="S2317" t="s">
        <v>5227</v>
      </c>
      <c r="AH2317" t="s">
        <v>359</v>
      </c>
    </row>
    <row r="2318" spans="1:34" ht="15.75">
      <c r="A2318" s="29">
        <f t="shared" si="36"/>
        <v>122</v>
      </c>
      <c r="B2318" s="2">
        <v>457</v>
      </c>
      <c r="C2318" s="2">
        <v>8</v>
      </c>
      <c r="D2318" s="2">
        <v>1817</v>
      </c>
      <c r="E2318">
        <v>8723</v>
      </c>
      <c r="H2318" t="s">
        <v>1541</v>
      </c>
      <c r="I2318" s="2">
        <v>122</v>
      </c>
      <c r="J2318" s="2">
        <v>0</v>
      </c>
      <c r="K2318" s="2" t="s">
        <v>867</v>
      </c>
      <c r="L2318" s="43" t="s">
        <v>3610</v>
      </c>
      <c r="P2318" s="41">
        <v>25</v>
      </c>
      <c r="Q2318" s="41">
        <v>5</v>
      </c>
      <c r="R2318" s="41">
        <v>35</v>
      </c>
      <c r="S2318" t="s">
        <v>5227</v>
      </c>
      <c r="AH2318" t="s">
        <v>359</v>
      </c>
    </row>
    <row r="2319" spans="1:34" ht="15.75">
      <c r="A2319" s="29">
        <f t="shared" si="36"/>
        <v>480</v>
      </c>
      <c r="B2319" s="2">
        <v>457</v>
      </c>
      <c r="C2319" s="2">
        <v>8</v>
      </c>
      <c r="D2319" s="2">
        <v>1817</v>
      </c>
      <c r="E2319">
        <v>8724</v>
      </c>
      <c r="H2319" t="s">
        <v>1541</v>
      </c>
      <c r="I2319" s="2">
        <v>480</v>
      </c>
      <c r="J2319" s="2">
        <v>0</v>
      </c>
      <c r="K2319" s="2" t="s">
        <v>867</v>
      </c>
      <c r="L2319" s="43" t="s">
        <v>3610</v>
      </c>
      <c r="P2319" s="41">
        <v>28</v>
      </c>
      <c r="Q2319" s="41">
        <v>6</v>
      </c>
      <c r="R2319" s="41">
        <v>62</v>
      </c>
      <c r="S2319" t="s">
        <v>3329</v>
      </c>
      <c r="AH2319" t="s">
        <v>359</v>
      </c>
    </row>
    <row r="2320" spans="1:34" ht="15.75">
      <c r="A2320" s="29">
        <f t="shared" si="36"/>
        <v>1200</v>
      </c>
      <c r="B2320" s="2">
        <v>457</v>
      </c>
      <c r="C2320" s="2">
        <v>8</v>
      </c>
      <c r="D2320" s="2">
        <v>1817</v>
      </c>
      <c r="E2320">
        <v>8725</v>
      </c>
      <c r="H2320" t="s">
        <v>1541</v>
      </c>
      <c r="I2320" s="2">
        <v>1200</v>
      </c>
      <c r="J2320" s="2">
        <v>0</v>
      </c>
      <c r="K2320" s="2" t="s">
        <v>867</v>
      </c>
      <c r="L2320" s="43" t="s">
        <v>3611</v>
      </c>
      <c r="P2320" s="41">
        <v>25</v>
      </c>
      <c r="Q2320" s="41">
        <v>10</v>
      </c>
      <c r="R2320" s="41">
        <v>24</v>
      </c>
      <c r="S2320" t="s">
        <v>3321</v>
      </c>
      <c r="AH2320" t="s">
        <v>359</v>
      </c>
    </row>
    <row r="2321" spans="1:34" ht="15.75">
      <c r="A2321" s="29">
        <f t="shared" si="36"/>
        <v>2100</v>
      </c>
      <c r="B2321" s="2">
        <v>457</v>
      </c>
      <c r="C2321" s="2">
        <v>8</v>
      </c>
      <c r="D2321" s="2">
        <v>1817</v>
      </c>
      <c r="E2321">
        <v>8726</v>
      </c>
      <c r="H2321" t="s">
        <v>1541</v>
      </c>
      <c r="I2321" s="2">
        <v>2100</v>
      </c>
      <c r="J2321" s="2">
        <v>0</v>
      </c>
      <c r="K2321" s="2" t="s">
        <v>867</v>
      </c>
      <c r="L2321" s="43" t="s">
        <v>3361</v>
      </c>
      <c r="P2321" s="41">
        <v>19</v>
      </c>
      <c r="Q2321" s="41">
        <v>1</v>
      </c>
      <c r="R2321" s="41" t="s">
        <v>868</v>
      </c>
      <c r="S2321" t="s">
        <v>3321</v>
      </c>
      <c r="AH2321" t="s">
        <v>359</v>
      </c>
    </row>
    <row r="2322" spans="1:34" ht="15.75">
      <c r="A2322" s="29">
        <f t="shared" si="36"/>
        <v>1552</v>
      </c>
      <c r="B2322" s="2">
        <v>457</v>
      </c>
      <c r="C2322" s="2">
        <v>8</v>
      </c>
      <c r="D2322" s="2">
        <v>1817</v>
      </c>
      <c r="E2322">
        <v>8727</v>
      </c>
      <c r="H2322" t="s">
        <v>1540</v>
      </c>
      <c r="I2322" s="2">
        <v>1552</v>
      </c>
      <c r="J2322" s="2">
        <v>0</v>
      </c>
      <c r="K2322" s="2" t="s">
        <v>867</v>
      </c>
      <c r="L2322" s="43" t="s">
        <v>3361</v>
      </c>
      <c r="P2322" s="41">
        <v>9</v>
      </c>
      <c r="Q2322" s="41">
        <v>10</v>
      </c>
      <c r="R2322" s="41">
        <v>41</v>
      </c>
      <c r="S2322" t="s">
        <v>3343</v>
      </c>
      <c r="AH2322" t="s">
        <v>359</v>
      </c>
    </row>
    <row r="2323" spans="1:34" ht="15.75">
      <c r="A2323" s="29">
        <f t="shared" si="36"/>
        <v>1395</v>
      </c>
      <c r="B2323" s="2">
        <v>457</v>
      </c>
      <c r="C2323" s="2">
        <v>8</v>
      </c>
      <c r="D2323" s="2">
        <v>1817</v>
      </c>
      <c r="E2323">
        <v>8728</v>
      </c>
      <c r="H2323" t="s">
        <v>1541</v>
      </c>
      <c r="I2323" s="2">
        <f>612+783</f>
        <v>1395</v>
      </c>
      <c r="J2323" s="2">
        <v>0</v>
      </c>
      <c r="K2323" s="2" t="s">
        <v>867</v>
      </c>
      <c r="L2323" s="43" t="s">
        <v>3616</v>
      </c>
      <c r="P2323" s="41">
        <v>12</v>
      </c>
      <c r="Q2323" s="41">
        <v>2</v>
      </c>
      <c r="R2323" s="41">
        <v>62</v>
      </c>
      <c r="S2323" t="s">
        <v>4325</v>
      </c>
      <c r="AH2323" t="s">
        <v>359</v>
      </c>
    </row>
    <row r="2324" spans="1:34" ht="15.75">
      <c r="A2324" s="29">
        <f t="shared" si="36"/>
        <v>17366.666666666664</v>
      </c>
      <c r="B2324" s="2">
        <v>457</v>
      </c>
      <c r="C2324" s="2">
        <v>8</v>
      </c>
      <c r="D2324" s="2">
        <v>1817</v>
      </c>
      <c r="E2324">
        <v>8729</v>
      </c>
      <c r="H2324" t="s">
        <v>1540</v>
      </c>
      <c r="I2324" s="2">
        <v>2700</v>
      </c>
      <c r="J2324" s="2">
        <v>4400</v>
      </c>
      <c r="K2324" s="2" t="s">
        <v>867</v>
      </c>
      <c r="L2324" s="43" t="s">
        <v>5535</v>
      </c>
      <c r="M2324" s="41" t="s">
        <v>1702</v>
      </c>
      <c r="O2324" s="41" t="s">
        <v>5536</v>
      </c>
      <c r="P2324" s="41">
        <v>6</v>
      </c>
      <c r="Q2324" s="41">
        <v>11</v>
      </c>
      <c r="R2324" s="41">
        <v>14</v>
      </c>
      <c r="S2324" t="s">
        <v>3343</v>
      </c>
      <c r="T2324" t="s">
        <v>5537</v>
      </c>
      <c r="V2324" t="s">
        <v>5538</v>
      </c>
      <c r="X2324">
        <f>1/6</f>
        <v>0.16666666666666666</v>
      </c>
      <c r="Y2324" t="s">
        <v>5539</v>
      </c>
      <c r="AH2324" t="s">
        <v>359</v>
      </c>
    </row>
    <row r="2325" spans="1:34" ht="15.75">
      <c r="A2325" s="29">
        <f t="shared" si="36"/>
        <v>17336</v>
      </c>
      <c r="B2325" s="8">
        <v>457</v>
      </c>
      <c r="C2325" s="2">
        <v>8</v>
      </c>
      <c r="D2325" s="2">
        <v>1817</v>
      </c>
      <c r="E2325">
        <v>8730</v>
      </c>
      <c r="F2325" s="9"/>
      <c r="G2325" s="9"/>
      <c r="H2325" s="9" t="s">
        <v>1541</v>
      </c>
      <c r="I2325" s="8">
        <v>17336</v>
      </c>
      <c r="J2325" s="8">
        <v>0</v>
      </c>
      <c r="K2325" s="2" t="s">
        <v>867</v>
      </c>
      <c r="L2325" s="43" t="s">
        <v>1554</v>
      </c>
      <c r="M2325" s="41" t="s">
        <v>1542</v>
      </c>
      <c r="O2325" s="41" t="s">
        <v>5540</v>
      </c>
      <c r="P2325" s="41">
        <v>24</v>
      </c>
      <c r="Q2325" s="41">
        <v>9</v>
      </c>
      <c r="S2325" t="s">
        <v>5541</v>
      </c>
      <c r="T2325" t="s">
        <v>5543</v>
      </c>
      <c r="U2325" t="s">
        <v>5542</v>
      </c>
      <c r="V2325" t="s">
        <v>5966</v>
      </c>
      <c r="AH2325" t="s">
        <v>359</v>
      </c>
    </row>
    <row r="2326" spans="1:34" ht="15.75">
      <c r="A2326" s="29">
        <f t="shared" si="36"/>
        <v>705</v>
      </c>
      <c r="B2326" s="2">
        <v>457</v>
      </c>
      <c r="C2326" s="2">
        <v>8</v>
      </c>
      <c r="D2326" s="2">
        <v>1817</v>
      </c>
      <c r="E2326">
        <v>8731</v>
      </c>
      <c r="H2326" t="s">
        <v>1540</v>
      </c>
      <c r="I2326" s="2">
        <v>705</v>
      </c>
      <c r="J2326" s="2">
        <v>0</v>
      </c>
      <c r="K2326" s="2" t="s">
        <v>867</v>
      </c>
      <c r="L2326" s="43" t="s">
        <v>3617</v>
      </c>
      <c r="P2326" s="41">
        <v>10</v>
      </c>
      <c r="Q2326" s="41">
        <v>4</v>
      </c>
      <c r="R2326" s="41">
        <v>64</v>
      </c>
      <c r="S2326" t="s">
        <v>5544</v>
      </c>
      <c r="AH2326" t="s">
        <v>359</v>
      </c>
    </row>
    <row r="2327" spans="1:34" ht="15.75">
      <c r="A2327" s="29">
        <f t="shared" si="36"/>
        <v>25</v>
      </c>
      <c r="B2327" s="2">
        <v>457</v>
      </c>
      <c r="C2327" s="2">
        <v>8</v>
      </c>
      <c r="D2327" s="2">
        <v>1817</v>
      </c>
      <c r="E2327">
        <v>8732</v>
      </c>
      <c r="H2327" t="s">
        <v>1540</v>
      </c>
      <c r="I2327" s="2">
        <v>25</v>
      </c>
      <c r="J2327" s="2">
        <v>0</v>
      </c>
      <c r="K2327" s="2" t="s">
        <v>867</v>
      </c>
      <c r="L2327" s="43" t="s">
        <v>3618</v>
      </c>
      <c r="P2327" s="41">
        <v>4</v>
      </c>
      <c r="Q2327" s="41">
        <v>5</v>
      </c>
      <c r="R2327" s="41">
        <v>64</v>
      </c>
      <c r="S2327" t="s">
        <v>3321</v>
      </c>
      <c r="AH2327" t="s">
        <v>359</v>
      </c>
    </row>
    <row r="2328" spans="1:34" ht="15.75">
      <c r="A2328" s="29">
        <f t="shared" si="36"/>
        <v>26</v>
      </c>
      <c r="B2328" s="2">
        <v>457</v>
      </c>
      <c r="C2328" s="2">
        <v>8</v>
      </c>
      <c r="D2328" s="2">
        <v>1817</v>
      </c>
      <c r="E2328">
        <v>8733</v>
      </c>
      <c r="H2328" t="s">
        <v>1541</v>
      </c>
      <c r="I2328" s="2">
        <v>26</v>
      </c>
      <c r="J2328" s="2">
        <v>0</v>
      </c>
      <c r="K2328" s="2" t="s">
        <v>867</v>
      </c>
      <c r="L2328" s="43" t="s">
        <v>5545</v>
      </c>
      <c r="P2328" s="41">
        <v>20</v>
      </c>
      <c r="Q2328" s="41">
        <v>4</v>
      </c>
      <c r="R2328" s="41">
        <v>25</v>
      </c>
      <c r="S2328" t="s">
        <v>5227</v>
      </c>
      <c r="AH2328" t="s">
        <v>359</v>
      </c>
    </row>
    <row r="2329" spans="1:34" ht="15.75">
      <c r="A2329" s="29">
        <f t="shared" si="36"/>
        <v>2000</v>
      </c>
      <c r="B2329" s="2">
        <v>457</v>
      </c>
      <c r="C2329" s="2">
        <v>8</v>
      </c>
      <c r="D2329" s="2">
        <v>1817</v>
      </c>
      <c r="E2329">
        <v>8734</v>
      </c>
      <c r="H2329" t="s">
        <v>1541</v>
      </c>
      <c r="I2329" s="2">
        <v>2000</v>
      </c>
      <c r="J2329" s="2">
        <v>0</v>
      </c>
      <c r="K2329" s="2" t="s">
        <v>867</v>
      </c>
      <c r="L2329" s="43" t="s">
        <v>5545</v>
      </c>
      <c r="P2329" s="41">
        <v>16</v>
      </c>
      <c r="Q2329" s="41">
        <v>5</v>
      </c>
      <c r="R2329" s="41">
        <v>40</v>
      </c>
      <c r="S2329" t="s">
        <v>3321</v>
      </c>
      <c r="AH2329" t="s">
        <v>359</v>
      </c>
    </row>
    <row r="2330" spans="1:34" ht="15.75">
      <c r="A2330" s="29">
        <f t="shared" si="36"/>
        <v>1660</v>
      </c>
      <c r="B2330" s="2">
        <v>457</v>
      </c>
      <c r="C2330" s="2">
        <v>8</v>
      </c>
      <c r="D2330" s="2">
        <v>1817</v>
      </c>
      <c r="E2330">
        <v>8737</v>
      </c>
      <c r="H2330" t="s">
        <v>1541</v>
      </c>
      <c r="I2330" s="2">
        <v>1660</v>
      </c>
      <c r="J2330" s="2">
        <v>0</v>
      </c>
      <c r="K2330" s="2" t="s">
        <v>867</v>
      </c>
      <c r="L2330" s="43" t="s">
        <v>5558</v>
      </c>
      <c r="P2330" s="41">
        <v>14</v>
      </c>
      <c r="Q2330" s="41">
        <v>11</v>
      </c>
      <c r="R2330" s="41">
        <v>40</v>
      </c>
      <c r="S2330" t="s">
        <v>5227</v>
      </c>
      <c r="AH2330" t="s">
        <v>359</v>
      </c>
    </row>
    <row r="2331" spans="1:34" ht="15.75">
      <c r="A2331" s="29">
        <f t="shared" si="36"/>
        <v>30000</v>
      </c>
      <c r="B2331" s="2">
        <v>458</v>
      </c>
      <c r="C2331" s="2">
        <v>8</v>
      </c>
      <c r="D2331" s="2">
        <v>1817</v>
      </c>
      <c r="E2331">
        <v>8738</v>
      </c>
      <c r="H2331" t="s">
        <v>1540</v>
      </c>
      <c r="I2331" s="2">
        <v>0</v>
      </c>
      <c r="J2331" s="2">
        <v>1500</v>
      </c>
      <c r="K2331" s="2" t="s">
        <v>867</v>
      </c>
      <c r="L2331" s="43" t="s">
        <v>5559</v>
      </c>
      <c r="M2331" s="41" t="s">
        <v>5560</v>
      </c>
      <c r="O2331" s="41" t="s">
        <v>5561</v>
      </c>
      <c r="P2331" s="41">
        <v>31</v>
      </c>
      <c r="Q2331" s="41">
        <v>3</v>
      </c>
      <c r="S2331" t="s">
        <v>5562</v>
      </c>
      <c r="T2331" t="s">
        <v>4205</v>
      </c>
      <c r="V2331" t="s">
        <v>3157</v>
      </c>
      <c r="X2331">
        <v>1</v>
      </c>
      <c r="Y2331" t="s">
        <v>5563</v>
      </c>
      <c r="AH2331" t="s">
        <v>359</v>
      </c>
    </row>
    <row r="2332" spans="1:34" ht="15.75">
      <c r="A2332" s="29">
        <f t="shared" si="36"/>
        <v>656</v>
      </c>
      <c r="B2332" s="2">
        <v>458</v>
      </c>
      <c r="C2332" s="2">
        <v>8</v>
      </c>
      <c r="D2332" s="2">
        <v>1817</v>
      </c>
      <c r="E2332">
        <v>8740</v>
      </c>
      <c r="H2332" t="s">
        <v>1540</v>
      </c>
      <c r="I2332" s="2">
        <v>656</v>
      </c>
      <c r="J2332" s="2">
        <v>0</v>
      </c>
      <c r="K2332" s="2" t="s">
        <v>867</v>
      </c>
      <c r="L2332" s="43" t="s">
        <v>5564</v>
      </c>
      <c r="P2332" s="41">
        <v>15</v>
      </c>
      <c r="Q2332" s="41">
        <v>5</v>
      </c>
      <c r="R2332" s="41">
        <v>66</v>
      </c>
      <c r="S2332" t="s">
        <v>3324</v>
      </c>
      <c r="AH2332" t="s">
        <v>359</v>
      </c>
    </row>
    <row r="2333" spans="1:34" ht="15.75">
      <c r="A2333" s="29">
        <f t="shared" si="36"/>
        <v>3654</v>
      </c>
      <c r="B2333" s="2">
        <v>458</v>
      </c>
      <c r="C2333" s="2">
        <v>8</v>
      </c>
      <c r="D2333" s="2">
        <v>1817</v>
      </c>
      <c r="E2333">
        <v>8742</v>
      </c>
      <c r="H2333" t="s">
        <v>1541</v>
      </c>
      <c r="I2333" s="2">
        <v>3654</v>
      </c>
      <c r="J2333" s="2">
        <v>0</v>
      </c>
      <c r="K2333" s="2" t="s">
        <v>867</v>
      </c>
      <c r="L2333" s="43" t="s">
        <v>2895</v>
      </c>
      <c r="P2333" s="41">
        <v>16</v>
      </c>
      <c r="Q2333" s="41">
        <v>10</v>
      </c>
      <c r="R2333" s="41">
        <v>52</v>
      </c>
      <c r="S2333" t="s">
        <v>3329</v>
      </c>
      <c r="AH2333" t="s">
        <v>359</v>
      </c>
    </row>
    <row r="2334" spans="1:34" ht="15.75">
      <c r="A2334" s="29">
        <f t="shared" si="36"/>
        <v>17549</v>
      </c>
      <c r="B2334" s="8">
        <v>458</v>
      </c>
      <c r="C2334" s="2">
        <v>8</v>
      </c>
      <c r="D2334" s="2">
        <v>1817</v>
      </c>
      <c r="E2334">
        <v>8743</v>
      </c>
      <c r="F2334" s="9"/>
      <c r="G2334" s="9"/>
      <c r="H2334" s="9" t="s">
        <v>1540</v>
      </c>
      <c r="I2334" s="8">
        <v>17549</v>
      </c>
      <c r="J2334" s="8">
        <v>0</v>
      </c>
      <c r="K2334" s="2" t="s">
        <v>867</v>
      </c>
      <c r="L2334" s="43" t="s">
        <v>5565</v>
      </c>
      <c r="M2334" s="43" t="s">
        <v>5566</v>
      </c>
      <c r="N2334" s="43" t="s">
        <v>5567</v>
      </c>
      <c r="O2334" s="43" t="s">
        <v>5568</v>
      </c>
      <c r="P2334" s="43">
        <v>22</v>
      </c>
      <c r="Q2334" s="43">
        <v>6</v>
      </c>
      <c r="R2334" s="43">
        <v>42</v>
      </c>
      <c r="S2334" s="12" t="s">
        <v>5569</v>
      </c>
      <c r="T2334" s="12" t="s">
        <v>5570</v>
      </c>
      <c r="V2334" s="12" t="s">
        <v>1218</v>
      </c>
      <c r="W2334" s="12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t="s">
        <v>359</v>
      </c>
    </row>
    <row r="2335" spans="1:34" ht="15.75">
      <c r="A2335" s="29">
        <f t="shared" si="36"/>
        <v>2251</v>
      </c>
      <c r="B2335" s="2">
        <v>458</v>
      </c>
      <c r="C2335" s="2">
        <v>8</v>
      </c>
      <c r="D2335" s="2">
        <v>1817</v>
      </c>
      <c r="E2335">
        <v>8744</v>
      </c>
      <c r="H2335" t="s">
        <v>1541</v>
      </c>
      <c r="I2335" s="2">
        <v>2251</v>
      </c>
      <c r="J2335" s="2">
        <v>0</v>
      </c>
      <c r="K2335" s="2" t="s">
        <v>867</v>
      </c>
      <c r="L2335" s="43" t="s">
        <v>3621</v>
      </c>
      <c r="P2335" s="41">
        <v>12</v>
      </c>
      <c r="Q2335" s="41">
        <v>6</v>
      </c>
      <c r="R2335" s="41">
        <v>51</v>
      </c>
      <c r="S2335" t="s">
        <v>3321</v>
      </c>
      <c r="AH2335" t="s">
        <v>359</v>
      </c>
    </row>
    <row r="2336" spans="1:34" ht="15.75">
      <c r="A2336" s="29">
        <f t="shared" si="36"/>
        <v>50357</v>
      </c>
      <c r="B2336" s="2">
        <v>458</v>
      </c>
      <c r="C2336" s="2">
        <v>8</v>
      </c>
      <c r="D2336" s="2">
        <v>1817</v>
      </c>
      <c r="E2336">
        <v>8745</v>
      </c>
      <c r="H2336" t="s">
        <v>1540</v>
      </c>
      <c r="I2336" s="2">
        <f>46357+2000+2000</f>
        <v>50357</v>
      </c>
      <c r="J2336" s="2">
        <v>0</v>
      </c>
      <c r="K2336" s="2" t="s">
        <v>867</v>
      </c>
      <c r="L2336" s="43" t="s">
        <v>5571</v>
      </c>
      <c r="M2336" s="41" t="s">
        <v>5952</v>
      </c>
      <c r="N2336" s="41" t="s">
        <v>5572</v>
      </c>
      <c r="O2336" s="41" t="s">
        <v>5573</v>
      </c>
      <c r="P2336" s="41">
        <v>18</v>
      </c>
      <c r="Q2336" s="41">
        <v>10</v>
      </c>
      <c r="R2336" s="41">
        <v>54</v>
      </c>
      <c r="S2336" t="s">
        <v>5574</v>
      </c>
      <c r="T2336" t="s">
        <v>5575</v>
      </c>
      <c r="V2336" t="s">
        <v>3158</v>
      </c>
      <c r="AA2336" t="s">
        <v>5576</v>
      </c>
      <c r="AH2336" t="s">
        <v>359</v>
      </c>
    </row>
    <row r="2337" spans="1:34" ht="15.75">
      <c r="A2337" s="29">
        <f t="shared" si="36"/>
        <v>5908</v>
      </c>
      <c r="B2337" s="2">
        <v>458</v>
      </c>
      <c r="C2337" s="2">
        <v>8</v>
      </c>
      <c r="D2337" s="2">
        <v>1817</v>
      </c>
      <c r="E2337">
        <v>8746</v>
      </c>
      <c r="H2337" t="s">
        <v>1540</v>
      </c>
      <c r="I2337" s="2">
        <v>5908</v>
      </c>
      <c r="J2337" s="2">
        <v>0</v>
      </c>
      <c r="K2337" s="2" t="s">
        <v>867</v>
      </c>
      <c r="L2337" s="43" t="s">
        <v>5577</v>
      </c>
      <c r="P2337" s="41">
        <v>17</v>
      </c>
      <c r="Q2337" s="41">
        <v>10</v>
      </c>
      <c r="R2337" s="41">
        <v>74</v>
      </c>
      <c r="S2337" t="s">
        <v>3343</v>
      </c>
      <c r="AH2337" t="s">
        <v>359</v>
      </c>
    </row>
    <row r="2338" spans="1:34" ht="15.75">
      <c r="A2338" s="29">
        <f t="shared" si="36"/>
        <v>100</v>
      </c>
      <c r="B2338" s="2">
        <v>458</v>
      </c>
      <c r="C2338" s="2">
        <v>8</v>
      </c>
      <c r="D2338" s="2">
        <v>1817</v>
      </c>
      <c r="E2338">
        <v>8747</v>
      </c>
      <c r="H2338" t="s">
        <v>1541</v>
      </c>
      <c r="I2338" s="2">
        <v>100</v>
      </c>
      <c r="J2338" s="2">
        <v>0</v>
      </c>
      <c r="K2338" s="2" t="s">
        <v>867</v>
      </c>
      <c r="L2338" s="43" t="s">
        <v>3622</v>
      </c>
      <c r="P2338" s="41">
        <v>19</v>
      </c>
      <c r="Q2338" s="41">
        <v>3</v>
      </c>
      <c r="R2338" s="41">
        <v>51</v>
      </c>
      <c r="S2338" t="s">
        <v>5578</v>
      </c>
      <c r="AH2338" t="s">
        <v>359</v>
      </c>
    </row>
    <row r="2339" spans="1:34" ht="15.75">
      <c r="A2339" s="29">
        <f t="shared" si="36"/>
        <v>500</v>
      </c>
      <c r="B2339" s="2">
        <v>458</v>
      </c>
      <c r="C2339" s="2">
        <v>8</v>
      </c>
      <c r="D2339" s="2">
        <v>1817</v>
      </c>
      <c r="E2339">
        <v>8748</v>
      </c>
      <c r="H2339" t="s">
        <v>1541</v>
      </c>
      <c r="I2339" s="2">
        <v>500</v>
      </c>
      <c r="J2339" s="2">
        <v>0</v>
      </c>
      <c r="K2339" s="2" t="s">
        <v>867</v>
      </c>
      <c r="L2339" s="43" t="s">
        <v>3622</v>
      </c>
      <c r="P2339" s="41">
        <v>23</v>
      </c>
      <c r="Q2339" s="41">
        <v>7</v>
      </c>
      <c r="R2339" s="41">
        <v>26</v>
      </c>
      <c r="S2339" t="s">
        <v>3321</v>
      </c>
      <c r="AH2339" t="s">
        <v>359</v>
      </c>
    </row>
    <row r="2340" spans="1:34" ht="15.75">
      <c r="A2340" s="29">
        <f t="shared" si="36"/>
        <v>408</v>
      </c>
      <c r="B2340" s="2">
        <v>458</v>
      </c>
      <c r="C2340" s="2">
        <v>8</v>
      </c>
      <c r="D2340" s="2">
        <v>1817</v>
      </c>
      <c r="E2340">
        <v>8750</v>
      </c>
      <c r="H2340" t="s">
        <v>1541</v>
      </c>
      <c r="I2340">
        <f>305+103</f>
        <v>408</v>
      </c>
      <c r="J2340" s="2">
        <v>0</v>
      </c>
      <c r="K2340" s="2" t="s">
        <v>867</v>
      </c>
      <c r="L2340" s="43" t="s">
        <v>5579</v>
      </c>
      <c r="P2340" s="41">
        <v>20</v>
      </c>
      <c r="Q2340" s="41">
        <v>12</v>
      </c>
      <c r="R2340" s="41">
        <v>65</v>
      </c>
      <c r="S2340" t="s">
        <v>5227</v>
      </c>
      <c r="AH2340" t="s">
        <v>359</v>
      </c>
    </row>
    <row r="2341" spans="1:34" ht="15.75">
      <c r="A2341" s="29">
        <f t="shared" si="36"/>
        <v>21325</v>
      </c>
      <c r="B2341" s="8">
        <v>458</v>
      </c>
      <c r="C2341" s="2">
        <v>8</v>
      </c>
      <c r="D2341" s="2">
        <v>1817</v>
      </c>
      <c r="E2341">
        <v>8751</v>
      </c>
      <c r="F2341" s="9"/>
      <c r="G2341" s="9"/>
      <c r="H2341" s="9" t="s">
        <v>1540</v>
      </c>
      <c r="I2341" s="8">
        <v>21325</v>
      </c>
      <c r="J2341" s="8">
        <v>0</v>
      </c>
      <c r="K2341" s="2" t="s">
        <v>867</v>
      </c>
      <c r="L2341" s="43" t="s">
        <v>5580</v>
      </c>
      <c r="M2341" s="41" t="s">
        <v>5581</v>
      </c>
      <c r="N2341" s="41" t="s">
        <v>5582</v>
      </c>
      <c r="O2341" s="41" t="s">
        <v>5583</v>
      </c>
      <c r="P2341" s="41">
        <v>25</v>
      </c>
      <c r="Q2341" s="41">
        <v>1</v>
      </c>
      <c r="R2341" s="41">
        <v>64</v>
      </c>
      <c r="S2341" s="11" t="s">
        <v>884</v>
      </c>
      <c r="T2341" s="11" t="s">
        <v>5584</v>
      </c>
      <c r="V2341" s="11" t="s">
        <v>669</v>
      </c>
      <c r="W2341" s="11"/>
      <c r="AH2341" t="s">
        <v>359</v>
      </c>
    </row>
    <row r="2342" spans="1:34" ht="15.75">
      <c r="A2342" s="29">
        <f t="shared" si="36"/>
        <v>2500</v>
      </c>
      <c r="B2342" s="2">
        <v>458</v>
      </c>
      <c r="C2342" s="2">
        <v>8</v>
      </c>
      <c r="D2342" s="2">
        <v>1817</v>
      </c>
      <c r="E2342">
        <v>8752</v>
      </c>
      <c r="H2342" t="s">
        <v>1540</v>
      </c>
      <c r="I2342" s="2">
        <v>2500</v>
      </c>
      <c r="J2342" s="2">
        <v>0</v>
      </c>
      <c r="K2342" s="2" t="s">
        <v>867</v>
      </c>
      <c r="L2342" s="43" t="s">
        <v>3624</v>
      </c>
      <c r="P2342" s="41">
        <v>17</v>
      </c>
      <c r="Q2342" s="41">
        <v>4</v>
      </c>
      <c r="R2342" s="41">
        <v>61</v>
      </c>
      <c r="S2342" t="s">
        <v>3321</v>
      </c>
      <c r="AH2342" t="s">
        <v>359</v>
      </c>
    </row>
    <row r="2343" spans="1:34" ht="15.75">
      <c r="A2343" s="29">
        <f t="shared" si="36"/>
        <v>67790</v>
      </c>
      <c r="B2343" s="2">
        <v>458</v>
      </c>
      <c r="C2343" s="2">
        <v>8</v>
      </c>
      <c r="D2343" s="2">
        <v>1817</v>
      </c>
      <c r="E2343">
        <v>8753</v>
      </c>
      <c r="H2343" t="s">
        <v>1541</v>
      </c>
      <c r="I2343">
        <f>62697+5093</f>
        <v>67790</v>
      </c>
      <c r="J2343" s="2">
        <v>0</v>
      </c>
      <c r="K2343" s="2" t="s">
        <v>867</v>
      </c>
      <c r="L2343" s="43" t="s">
        <v>5585</v>
      </c>
      <c r="M2343" s="41" t="s">
        <v>5586</v>
      </c>
      <c r="O2343" s="41" t="s">
        <v>5587</v>
      </c>
      <c r="P2343" s="41">
        <v>5</v>
      </c>
      <c r="Q2343" s="41">
        <v>11</v>
      </c>
      <c r="R2343" s="41">
        <v>22</v>
      </c>
      <c r="S2343" t="s">
        <v>5588</v>
      </c>
      <c r="T2343" t="s">
        <v>5589</v>
      </c>
      <c r="V2343" t="s">
        <v>5590</v>
      </c>
      <c r="AH2343" t="s">
        <v>359</v>
      </c>
    </row>
    <row r="2344" spans="1:34" ht="15.75">
      <c r="A2344" s="29">
        <f t="shared" si="36"/>
        <v>6693</v>
      </c>
      <c r="B2344" s="2">
        <v>458</v>
      </c>
      <c r="C2344" s="2">
        <v>8</v>
      </c>
      <c r="D2344" s="2">
        <v>1817</v>
      </c>
      <c r="E2344">
        <v>8755</v>
      </c>
      <c r="H2344" t="s">
        <v>1549</v>
      </c>
      <c r="I2344">
        <v>6693</v>
      </c>
      <c r="J2344" s="2">
        <v>0</v>
      </c>
      <c r="K2344" s="2" t="s">
        <v>867</v>
      </c>
      <c r="L2344" s="43" t="s">
        <v>3625</v>
      </c>
      <c r="P2344" s="41">
        <v>1</v>
      </c>
      <c r="Q2344" s="41">
        <v>1</v>
      </c>
      <c r="R2344" s="41">
        <v>51</v>
      </c>
      <c r="S2344" t="s">
        <v>5227</v>
      </c>
      <c r="AH2344" t="s">
        <v>359</v>
      </c>
    </row>
    <row r="2345" spans="1:34" ht="15.75">
      <c r="A2345" s="29">
        <f t="shared" si="36"/>
        <v>2898</v>
      </c>
      <c r="B2345" s="2">
        <v>458</v>
      </c>
      <c r="C2345" s="2">
        <v>8</v>
      </c>
      <c r="D2345" s="2">
        <v>1817</v>
      </c>
      <c r="E2345">
        <v>8756</v>
      </c>
      <c r="H2345" t="s">
        <v>1540</v>
      </c>
      <c r="I2345">
        <v>2898</v>
      </c>
      <c r="J2345" s="2">
        <v>0</v>
      </c>
      <c r="K2345" s="2" t="s">
        <v>867</v>
      </c>
      <c r="L2345" s="43" t="s">
        <v>5594</v>
      </c>
      <c r="P2345" s="41">
        <v>28</v>
      </c>
      <c r="Q2345" s="41">
        <v>1</v>
      </c>
      <c r="R2345" s="41">
        <v>48</v>
      </c>
      <c r="S2345" t="s">
        <v>3321</v>
      </c>
      <c r="AH2345" t="s">
        <v>359</v>
      </c>
    </row>
    <row r="2346" spans="1:34" ht="15.75">
      <c r="A2346" s="29">
        <f t="shared" si="36"/>
        <v>1337</v>
      </c>
      <c r="B2346" s="2">
        <v>458</v>
      </c>
      <c r="C2346" s="2">
        <v>8</v>
      </c>
      <c r="D2346" s="2">
        <v>1817</v>
      </c>
      <c r="E2346">
        <v>8757</v>
      </c>
      <c r="H2346" t="s">
        <v>1540</v>
      </c>
      <c r="I2346">
        <f>570+767</f>
        <v>1337</v>
      </c>
      <c r="J2346" s="2">
        <v>0</v>
      </c>
      <c r="K2346" s="2" t="s">
        <v>867</v>
      </c>
      <c r="L2346" s="43" t="s">
        <v>5594</v>
      </c>
      <c r="P2346" s="41">
        <v>5</v>
      </c>
      <c r="Q2346" s="41">
        <v>5</v>
      </c>
      <c r="R2346" s="41">
        <v>77</v>
      </c>
      <c r="S2346" t="s">
        <v>5227</v>
      </c>
      <c r="AH2346" t="s">
        <v>359</v>
      </c>
    </row>
    <row r="2347" spans="1:34" ht="15.75">
      <c r="A2347" s="29">
        <f t="shared" si="36"/>
        <v>25432</v>
      </c>
      <c r="B2347" s="8">
        <v>458</v>
      </c>
      <c r="C2347" s="2">
        <v>8</v>
      </c>
      <c r="D2347" s="2">
        <v>1817</v>
      </c>
      <c r="E2347">
        <v>8758</v>
      </c>
      <c r="F2347" s="9"/>
      <c r="G2347" s="9"/>
      <c r="H2347" s="9" t="s">
        <v>1540</v>
      </c>
      <c r="I2347" s="9">
        <v>25432</v>
      </c>
      <c r="J2347" s="8">
        <v>0</v>
      </c>
      <c r="K2347" s="2" t="s">
        <v>867</v>
      </c>
      <c r="L2347" s="43" t="s">
        <v>4323</v>
      </c>
      <c r="M2347" s="41" t="s">
        <v>5595</v>
      </c>
      <c r="N2347" s="41" t="s">
        <v>5172</v>
      </c>
      <c r="O2347" s="41" t="s">
        <v>5596</v>
      </c>
      <c r="P2347" s="41">
        <v>28</v>
      </c>
      <c r="Q2347" s="41">
        <v>9</v>
      </c>
      <c r="R2347" s="41">
        <v>65</v>
      </c>
      <c r="S2347" s="11" t="s">
        <v>5597</v>
      </c>
      <c r="T2347" s="11" t="s">
        <v>5598</v>
      </c>
      <c r="V2347" s="11" t="s">
        <v>2297</v>
      </c>
      <c r="W2347" s="11"/>
      <c r="AH2347" t="s">
        <v>359</v>
      </c>
    </row>
    <row r="2348" spans="1:34" ht="15.75">
      <c r="A2348" s="29">
        <f t="shared" si="36"/>
        <v>2860</v>
      </c>
      <c r="B2348" s="2">
        <v>458</v>
      </c>
      <c r="C2348" s="2">
        <v>8</v>
      </c>
      <c r="D2348" s="2">
        <v>1817</v>
      </c>
      <c r="E2348">
        <v>8759</v>
      </c>
      <c r="H2348" t="s">
        <v>1540</v>
      </c>
      <c r="I2348">
        <v>2860</v>
      </c>
      <c r="J2348" s="2">
        <v>0</v>
      </c>
      <c r="K2348" s="2" t="s">
        <v>867</v>
      </c>
      <c r="L2348" s="43" t="s">
        <v>5599</v>
      </c>
      <c r="P2348" s="41">
        <v>24</v>
      </c>
      <c r="Q2348" s="41">
        <v>4</v>
      </c>
      <c r="R2348" s="41">
        <v>0.8</v>
      </c>
      <c r="S2348" t="s">
        <v>5227</v>
      </c>
      <c r="AH2348" t="s">
        <v>359</v>
      </c>
    </row>
    <row r="2349" spans="1:34" ht="15.75">
      <c r="A2349" s="29">
        <f t="shared" si="36"/>
        <v>5002</v>
      </c>
      <c r="B2349" s="2">
        <v>459</v>
      </c>
      <c r="C2349" s="2">
        <v>8</v>
      </c>
      <c r="D2349" s="2">
        <v>1817</v>
      </c>
      <c r="E2349">
        <v>8818</v>
      </c>
      <c r="H2349" t="s">
        <v>1540</v>
      </c>
      <c r="I2349" s="2">
        <v>5002</v>
      </c>
      <c r="J2349" s="2">
        <v>0</v>
      </c>
      <c r="K2349" s="2" t="s">
        <v>867</v>
      </c>
      <c r="L2349" s="43" t="s">
        <v>5600</v>
      </c>
      <c r="P2349" s="41">
        <v>22</v>
      </c>
      <c r="Q2349" s="41">
        <v>10</v>
      </c>
      <c r="R2349" s="41">
        <v>62</v>
      </c>
      <c r="S2349" t="s">
        <v>5227</v>
      </c>
      <c r="AH2349" t="s">
        <v>359</v>
      </c>
    </row>
    <row r="2350" spans="1:34" ht="15.75">
      <c r="A2350" s="29">
        <f t="shared" si="36"/>
        <v>107</v>
      </c>
      <c r="B2350" s="2">
        <v>459</v>
      </c>
      <c r="C2350" s="2">
        <v>8</v>
      </c>
      <c r="D2350" s="2">
        <v>1817</v>
      </c>
      <c r="E2350">
        <v>8819</v>
      </c>
      <c r="H2350" t="s">
        <v>1540</v>
      </c>
      <c r="I2350" s="2">
        <v>107</v>
      </c>
      <c r="J2350" s="2">
        <v>0</v>
      </c>
      <c r="K2350" s="2" t="s">
        <v>867</v>
      </c>
      <c r="L2350" s="43" t="s">
        <v>5600</v>
      </c>
      <c r="P2350" s="41">
        <v>20</v>
      </c>
      <c r="Q2350" s="41">
        <v>12</v>
      </c>
      <c r="R2350" s="41">
        <v>57</v>
      </c>
      <c r="S2350" t="s">
        <v>5227</v>
      </c>
      <c r="AH2350" t="s">
        <v>359</v>
      </c>
    </row>
    <row r="2351" spans="1:34" ht="15.75">
      <c r="A2351" s="29">
        <f t="shared" si="36"/>
        <v>243</v>
      </c>
      <c r="B2351" s="2">
        <v>459</v>
      </c>
      <c r="C2351" s="2">
        <v>8</v>
      </c>
      <c r="D2351" s="2">
        <v>1817</v>
      </c>
      <c r="E2351">
        <v>8820</v>
      </c>
      <c r="H2351" t="s">
        <v>1541</v>
      </c>
      <c r="I2351" s="2">
        <v>243</v>
      </c>
      <c r="J2351" s="2">
        <v>0</v>
      </c>
      <c r="K2351" s="2" t="s">
        <v>867</v>
      </c>
      <c r="L2351" s="43" t="s">
        <v>3629</v>
      </c>
      <c r="P2351" s="41">
        <v>18</v>
      </c>
      <c r="Q2351" s="41">
        <v>3</v>
      </c>
      <c r="R2351" s="41">
        <v>55</v>
      </c>
      <c r="S2351" t="s">
        <v>3321</v>
      </c>
      <c r="AH2351" t="s">
        <v>359</v>
      </c>
    </row>
    <row r="2352" spans="1:34" ht="15.75">
      <c r="A2352" s="29">
        <f t="shared" si="36"/>
        <v>80</v>
      </c>
      <c r="B2352" s="2">
        <v>459</v>
      </c>
      <c r="C2352" s="2">
        <v>8</v>
      </c>
      <c r="D2352" s="2">
        <v>1817</v>
      </c>
      <c r="E2352">
        <v>8821</v>
      </c>
      <c r="H2352" t="s">
        <v>1541</v>
      </c>
      <c r="I2352" s="2">
        <v>80</v>
      </c>
      <c r="J2352" s="2">
        <v>0</v>
      </c>
      <c r="K2352" s="2" t="s">
        <v>867</v>
      </c>
      <c r="L2352" s="43" t="s">
        <v>3633</v>
      </c>
      <c r="P2352" s="41">
        <v>30</v>
      </c>
      <c r="Q2352" s="41">
        <v>11</v>
      </c>
      <c r="R2352" s="41">
        <v>20</v>
      </c>
      <c r="S2352" t="s">
        <v>5227</v>
      </c>
      <c r="AH2352" t="s">
        <v>359</v>
      </c>
    </row>
    <row r="2353" spans="1:34" ht="15.75">
      <c r="A2353" s="29">
        <f t="shared" si="36"/>
        <v>589296</v>
      </c>
      <c r="B2353" s="2">
        <v>459</v>
      </c>
      <c r="C2353" s="2">
        <v>8</v>
      </c>
      <c r="D2353" s="2">
        <v>1817</v>
      </c>
      <c r="E2353">
        <v>8822</v>
      </c>
      <c r="H2353" t="s">
        <v>1540</v>
      </c>
      <c r="I2353" s="2">
        <v>475296</v>
      </c>
      <c r="J2353" s="2">
        <f>1200+4500</f>
        <v>5700</v>
      </c>
      <c r="K2353" s="2" t="s">
        <v>867</v>
      </c>
      <c r="L2353" s="43" t="s">
        <v>5601</v>
      </c>
      <c r="M2353" s="41" t="s">
        <v>5602</v>
      </c>
      <c r="N2353" s="41" t="s">
        <v>5603</v>
      </c>
      <c r="O2353" s="41" t="s">
        <v>5604</v>
      </c>
      <c r="P2353" s="41">
        <v>31</v>
      </c>
      <c r="Q2353" s="41">
        <v>3</v>
      </c>
      <c r="R2353" s="41">
        <v>70</v>
      </c>
      <c r="S2353" t="s">
        <v>5605</v>
      </c>
      <c r="T2353" t="s">
        <v>5606</v>
      </c>
      <c r="V2353" t="s">
        <v>742</v>
      </c>
      <c r="X2353">
        <v>1</v>
      </c>
      <c r="Y2353" t="s">
        <v>5607</v>
      </c>
      <c r="AA2353" t="s">
        <v>5608</v>
      </c>
      <c r="AH2353" t="s">
        <v>359</v>
      </c>
    </row>
    <row r="2354" spans="1:34" ht="15.75">
      <c r="A2354" s="29">
        <f t="shared" si="36"/>
        <v>424</v>
      </c>
      <c r="B2354" s="2">
        <v>459</v>
      </c>
      <c r="C2354" s="2">
        <v>8</v>
      </c>
      <c r="D2354" s="2">
        <v>1817</v>
      </c>
      <c r="E2354">
        <v>8823</v>
      </c>
      <c r="H2354" t="s">
        <v>1541</v>
      </c>
      <c r="I2354" s="2">
        <v>424</v>
      </c>
      <c r="J2354" s="2">
        <v>0</v>
      </c>
      <c r="K2354" s="2" t="s">
        <v>867</v>
      </c>
      <c r="L2354" s="43" t="s">
        <v>5609</v>
      </c>
      <c r="P2354" s="41">
        <v>2</v>
      </c>
      <c r="Q2354" s="41">
        <v>7</v>
      </c>
      <c r="R2354" s="41">
        <v>69</v>
      </c>
      <c r="S2354" t="s">
        <v>3329</v>
      </c>
      <c r="AH2354" t="s">
        <v>359</v>
      </c>
    </row>
    <row r="2355" spans="1:34" ht="15.75">
      <c r="A2355" s="29">
        <f t="shared" si="36"/>
        <v>7000</v>
      </c>
      <c r="B2355" s="2">
        <v>459</v>
      </c>
      <c r="C2355" s="2">
        <v>8</v>
      </c>
      <c r="D2355" s="2">
        <v>1817</v>
      </c>
      <c r="E2355">
        <v>8824</v>
      </c>
      <c r="H2355" t="s">
        <v>1541</v>
      </c>
      <c r="I2355" s="2">
        <v>7000</v>
      </c>
      <c r="J2355" s="2">
        <v>0</v>
      </c>
      <c r="K2355" s="2" t="s">
        <v>867</v>
      </c>
      <c r="L2355" s="43" t="s">
        <v>5610</v>
      </c>
      <c r="P2355" s="41">
        <v>22</v>
      </c>
      <c r="Q2355" s="41">
        <v>11</v>
      </c>
      <c r="R2355" s="41">
        <v>50</v>
      </c>
      <c r="S2355" t="s">
        <v>3321</v>
      </c>
      <c r="AH2355" t="s">
        <v>359</v>
      </c>
    </row>
    <row r="2356" spans="1:34" ht="15.75">
      <c r="A2356" s="29">
        <f t="shared" si="36"/>
        <v>50</v>
      </c>
      <c r="B2356" s="2">
        <v>459</v>
      </c>
      <c r="C2356" s="2">
        <v>8</v>
      </c>
      <c r="D2356" s="2">
        <v>1817</v>
      </c>
      <c r="E2356">
        <v>8825</v>
      </c>
      <c r="H2356" t="s">
        <v>1540</v>
      </c>
      <c r="I2356" s="2">
        <v>50</v>
      </c>
      <c r="J2356" s="2">
        <v>0</v>
      </c>
      <c r="K2356" s="2" t="s">
        <v>867</v>
      </c>
      <c r="L2356" s="43" t="s">
        <v>3350</v>
      </c>
      <c r="P2356" s="41">
        <v>27</v>
      </c>
      <c r="Q2356" s="41">
        <v>6</v>
      </c>
      <c r="R2356" s="41">
        <v>66</v>
      </c>
      <c r="S2356" t="s">
        <v>5592</v>
      </c>
      <c r="AH2356" t="s">
        <v>359</v>
      </c>
    </row>
    <row r="2357" spans="1:34" ht="15.75">
      <c r="A2357" s="29">
        <f t="shared" si="36"/>
        <v>95</v>
      </c>
      <c r="B2357" s="2">
        <v>459</v>
      </c>
      <c r="C2357" s="2">
        <v>8</v>
      </c>
      <c r="D2357" s="2">
        <v>1817</v>
      </c>
      <c r="E2357">
        <v>8826</v>
      </c>
      <c r="H2357" t="s">
        <v>1540</v>
      </c>
      <c r="I2357" s="2">
        <v>95</v>
      </c>
      <c r="J2357" s="2">
        <v>0</v>
      </c>
      <c r="K2357" s="2" t="s">
        <v>867</v>
      </c>
      <c r="L2357" s="43" t="s">
        <v>5611</v>
      </c>
      <c r="P2357" s="41">
        <v>23</v>
      </c>
      <c r="Q2357" s="41">
        <v>3</v>
      </c>
      <c r="R2357" s="41">
        <v>73</v>
      </c>
      <c r="S2357" t="s">
        <v>4324</v>
      </c>
      <c r="AH2357" t="s">
        <v>359</v>
      </c>
    </row>
    <row r="2358" spans="1:34" ht="15.75">
      <c r="A2358" s="29">
        <f t="shared" si="36"/>
        <v>2117</v>
      </c>
      <c r="B2358" s="2">
        <v>459</v>
      </c>
      <c r="C2358" s="2">
        <v>8</v>
      </c>
      <c r="D2358" s="2">
        <v>1817</v>
      </c>
      <c r="E2358">
        <v>8827</v>
      </c>
      <c r="H2358" t="s">
        <v>1541</v>
      </c>
      <c r="I2358" s="2">
        <v>2117</v>
      </c>
      <c r="J2358" s="2">
        <v>0</v>
      </c>
      <c r="K2358" s="2" t="s">
        <v>867</v>
      </c>
      <c r="L2358" s="43" t="s">
        <v>3699</v>
      </c>
      <c r="P2358" s="41">
        <v>14</v>
      </c>
      <c r="Q2358" s="41">
        <v>12</v>
      </c>
      <c r="R2358" s="41" t="s">
        <v>868</v>
      </c>
      <c r="S2358" t="s">
        <v>3321</v>
      </c>
      <c r="AH2358" t="s">
        <v>359</v>
      </c>
    </row>
    <row r="2359" spans="1:34" ht="15.75">
      <c r="A2359" s="29">
        <f t="shared" si="36"/>
        <v>1271</v>
      </c>
      <c r="B2359" s="2">
        <v>459</v>
      </c>
      <c r="C2359" s="2">
        <v>8</v>
      </c>
      <c r="D2359" s="2">
        <v>1817</v>
      </c>
      <c r="E2359">
        <v>8828</v>
      </c>
      <c r="H2359" t="s">
        <v>5087</v>
      </c>
      <c r="I2359" s="2">
        <f>671+600</f>
        <v>1271</v>
      </c>
      <c r="J2359" s="2">
        <v>0</v>
      </c>
      <c r="K2359" s="2" t="s">
        <v>867</v>
      </c>
      <c r="L2359" s="43" t="s">
        <v>5612</v>
      </c>
      <c r="P2359" s="41">
        <v>20</v>
      </c>
      <c r="Q2359" s="41">
        <v>2</v>
      </c>
      <c r="R2359" s="41">
        <v>48</v>
      </c>
      <c r="S2359" t="s">
        <v>3321</v>
      </c>
      <c r="AH2359" t="s">
        <v>359</v>
      </c>
    </row>
    <row r="2360" spans="1:34" ht="15.75">
      <c r="A2360" s="29">
        <f t="shared" si="36"/>
        <v>18000</v>
      </c>
      <c r="B2360" s="8">
        <v>459</v>
      </c>
      <c r="C2360" s="2">
        <v>8</v>
      </c>
      <c r="D2360" s="2">
        <v>1817</v>
      </c>
      <c r="E2360">
        <v>8829</v>
      </c>
      <c r="F2360" s="9"/>
      <c r="G2360" s="9"/>
      <c r="H2360" s="9" t="s">
        <v>1541</v>
      </c>
      <c r="I2360" s="8">
        <v>18000</v>
      </c>
      <c r="J2360" s="8">
        <v>0</v>
      </c>
      <c r="K2360" s="2" t="s">
        <v>867</v>
      </c>
      <c r="L2360" s="43" t="s">
        <v>5613</v>
      </c>
      <c r="M2360" s="41" t="s">
        <v>5614</v>
      </c>
      <c r="O2360" s="41" t="s">
        <v>5615</v>
      </c>
      <c r="P2360" s="41">
        <v>19</v>
      </c>
      <c r="Q2360" s="41">
        <v>3</v>
      </c>
      <c r="R2360" s="41">
        <v>48</v>
      </c>
      <c r="S2360" t="s">
        <v>5616</v>
      </c>
      <c r="T2360" t="s">
        <v>5617</v>
      </c>
      <c r="V2360" t="s">
        <v>5143</v>
      </c>
      <c r="AH2360" t="s">
        <v>359</v>
      </c>
    </row>
    <row r="2361" spans="1:34" ht="15.75">
      <c r="A2361" s="29">
        <f t="shared" si="36"/>
        <v>361</v>
      </c>
      <c r="B2361" s="2">
        <v>459</v>
      </c>
      <c r="C2361" s="2">
        <v>8</v>
      </c>
      <c r="D2361" s="2">
        <v>1817</v>
      </c>
      <c r="E2361">
        <v>8830</v>
      </c>
      <c r="H2361" t="s">
        <v>1541</v>
      </c>
      <c r="I2361" s="2">
        <v>361</v>
      </c>
      <c r="J2361" s="2">
        <v>0</v>
      </c>
      <c r="K2361" s="2" t="s">
        <v>868</v>
      </c>
      <c r="L2361" s="43" t="s">
        <v>3763</v>
      </c>
      <c r="P2361" s="41">
        <v>30</v>
      </c>
      <c r="Q2361" s="41">
        <v>4</v>
      </c>
      <c r="R2361" s="41">
        <v>64</v>
      </c>
      <c r="S2361" t="s">
        <v>3321</v>
      </c>
      <c r="AH2361" t="s">
        <v>359</v>
      </c>
    </row>
    <row r="2362" spans="1:34" ht="15.75">
      <c r="A2362" s="29">
        <f t="shared" si="36"/>
        <v>291248</v>
      </c>
      <c r="B2362" s="2">
        <v>460</v>
      </c>
      <c r="C2362" s="2">
        <v>8</v>
      </c>
      <c r="D2362" s="2">
        <v>1817</v>
      </c>
      <c r="E2362">
        <v>8845</v>
      </c>
      <c r="H2362" t="s">
        <v>1541</v>
      </c>
      <c r="I2362" s="2">
        <v>291248</v>
      </c>
      <c r="J2362" s="2">
        <v>0</v>
      </c>
      <c r="K2362" s="2" t="s">
        <v>868</v>
      </c>
      <c r="L2362" s="43" t="s">
        <v>5626</v>
      </c>
      <c r="M2362" s="41" t="s">
        <v>5627</v>
      </c>
      <c r="N2362" s="41" t="s">
        <v>1551</v>
      </c>
      <c r="O2362" s="41" t="s">
        <v>5628</v>
      </c>
      <c r="P2362" s="41">
        <v>14</v>
      </c>
      <c r="Q2362" s="41">
        <v>7</v>
      </c>
      <c r="R2362" s="41">
        <v>51</v>
      </c>
      <c r="S2362" t="s">
        <v>5629</v>
      </c>
      <c r="T2362" t="s">
        <v>2974</v>
      </c>
      <c r="V2362" t="s">
        <v>5630</v>
      </c>
      <c r="AH2362" t="s">
        <v>359</v>
      </c>
    </row>
    <row r="2363" spans="1:34" ht="15.75">
      <c r="A2363" s="29">
        <f t="shared" si="36"/>
        <v>285562</v>
      </c>
      <c r="B2363" s="2">
        <v>460</v>
      </c>
      <c r="C2363" s="2">
        <v>8</v>
      </c>
      <c r="D2363" s="2">
        <v>1817</v>
      </c>
      <c r="E2363">
        <v>8846</v>
      </c>
      <c r="H2363" t="s">
        <v>1541</v>
      </c>
      <c r="I2363" s="2">
        <v>210902</v>
      </c>
      <c r="J2363" s="2">
        <v>3733</v>
      </c>
      <c r="K2363" s="2" t="s">
        <v>868</v>
      </c>
      <c r="L2363" s="43" t="s">
        <v>5631</v>
      </c>
      <c r="M2363" s="41" t="s">
        <v>4643</v>
      </c>
      <c r="N2363" s="41" t="s">
        <v>5632</v>
      </c>
      <c r="O2363" s="41" t="s">
        <v>5633</v>
      </c>
      <c r="P2363" s="41">
        <v>21</v>
      </c>
      <c r="Q2363" s="41">
        <v>5</v>
      </c>
      <c r="R2363" s="41">
        <v>52</v>
      </c>
      <c r="S2363" t="s">
        <v>5634</v>
      </c>
      <c r="T2363" t="s">
        <v>5635</v>
      </c>
      <c r="V2363" t="s">
        <v>5636</v>
      </c>
      <c r="X2363">
        <v>1</v>
      </c>
      <c r="Y2363" t="s">
        <v>5637</v>
      </c>
      <c r="AH2363" t="s">
        <v>359</v>
      </c>
    </row>
    <row r="2364" spans="1:34" ht="15.75">
      <c r="A2364" s="29">
        <f t="shared" si="36"/>
        <v>1447</v>
      </c>
      <c r="B2364" s="2">
        <v>460</v>
      </c>
      <c r="C2364" s="2">
        <v>8</v>
      </c>
      <c r="D2364" s="2">
        <v>1817</v>
      </c>
      <c r="E2364">
        <v>8847</v>
      </c>
      <c r="H2364" t="s">
        <v>1540</v>
      </c>
      <c r="I2364" s="2">
        <f>872+575</f>
        <v>1447</v>
      </c>
      <c r="J2364" s="2">
        <v>0</v>
      </c>
      <c r="K2364" s="2" t="s">
        <v>868</v>
      </c>
      <c r="L2364" s="43" t="s">
        <v>5638</v>
      </c>
      <c r="P2364" s="41">
        <v>22</v>
      </c>
      <c r="Q2364" s="41">
        <v>10</v>
      </c>
      <c r="R2364" s="41">
        <v>25</v>
      </c>
      <c r="S2364" t="s">
        <v>5227</v>
      </c>
      <c r="AH2364" t="s">
        <v>359</v>
      </c>
    </row>
    <row r="2365" spans="1:34" ht="15.75">
      <c r="A2365" s="29">
        <f t="shared" si="36"/>
        <v>48</v>
      </c>
      <c r="B2365" s="2">
        <v>460</v>
      </c>
      <c r="C2365" s="2">
        <v>8</v>
      </c>
      <c r="D2365" s="2">
        <v>1817</v>
      </c>
      <c r="E2365">
        <v>8848</v>
      </c>
      <c r="H2365" t="s">
        <v>1541</v>
      </c>
      <c r="I2365" s="2">
        <v>48</v>
      </c>
      <c r="J2365" s="2">
        <v>0</v>
      </c>
      <c r="K2365" s="2" t="s">
        <v>868</v>
      </c>
      <c r="L2365" s="43" t="s">
        <v>5922</v>
      </c>
      <c r="P2365" s="41">
        <v>27</v>
      </c>
      <c r="Q2365" s="41">
        <v>1</v>
      </c>
      <c r="R2365" s="41">
        <v>25</v>
      </c>
      <c r="S2365" t="s">
        <v>3329</v>
      </c>
      <c r="AH2365" t="s">
        <v>359</v>
      </c>
    </row>
    <row r="2366" spans="1:34" ht="15.75">
      <c r="A2366" s="29">
        <f t="shared" si="36"/>
        <v>77809</v>
      </c>
      <c r="B2366" s="2">
        <v>460</v>
      </c>
      <c r="C2366" s="2">
        <v>8</v>
      </c>
      <c r="D2366" s="2">
        <v>1817</v>
      </c>
      <c r="E2366">
        <v>8849</v>
      </c>
      <c r="H2366" t="s">
        <v>1541</v>
      </c>
      <c r="I2366" s="2">
        <v>7809</v>
      </c>
      <c r="J2366" s="2">
        <v>3500</v>
      </c>
      <c r="K2366" s="2" t="s">
        <v>868</v>
      </c>
      <c r="L2366" s="43" t="s">
        <v>5639</v>
      </c>
      <c r="M2366" s="41" t="s">
        <v>5904</v>
      </c>
      <c r="O2366" s="41" t="s">
        <v>5640</v>
      </c>
      <c r="P2366" s="41">
        <v>25</v>
      </c>
      <c r="Q2366" s="41">
        <v>2</v>
      </c>
      <c r="R2366" s="41">
        <v>55</v>
      </c>
      <c r="S2366" t="s">
        <v>5641</v>
      </c>
      <c r="T2366" t="s">
        <v>5642</v>
      </c>
      <c r="V2366" t="s">
        <v>1806</v>
      </c>
      <c r="X2366">
        <v>1</v>
      </c>
      <c r="Y2366" t="s">
        <v>5643</v>
      </c>
      <c r="AA2366" t="s">
        <v>721</v>
      </c>
      <c r="AH2366" t="s">
        <v>359</v>
      </c>
    </row>
    <row r="2367" spans="1:34" ht="15.75">
      <c r="A2367" s="29">
        <f t="shared" si="36"/>
        <v>8000</v>
      </c>
      <c r="B2367" s="2">
        <v>460</v>
      </c>
      <c r="C2367" s="2">
        <v>8</v>
      </c>
      <c r="D2367" s="2">
        <v>1817</v>
      </c>
      <c r="E2367">
        <v>8850</v>
      </c>
      <c r="H2367" t="s">
        <v>1541</v>
      </c>
      <c r="I2367" s="2">
        <v>8000</v>
      </c>
      <c r="J2367" s="2">
        <v>0</v>
      </c>
      <c r="K2367" s="2" t="s">
        <v>868</v>
      </c>
      <c r="L2367" s="43" t="s">
        <v>5923</v>
      </c>
      <c r="P2367" s="41">
        <v>27</v>
      </c>
      <c r="Q2367" s="41">
        <v>2</v>
      </c>
      <c r="R2367" s="41">
        <v>59</v>
      </c>
      <c r="S2367" t="s">
        <v>3321</v>
      </c>
      <c r="AH2367" t="s">
        <v>359</v>
      </c>
    </row>
    <row r="2368" spans="1:34" ht="15.75">
      <c r="A2368" s="29">
        <f t="shared" si="36"/>
        <v>6315</v>
      </c>
      <c r="B2368" s="2">
        <v>461</v>
      </c>
      <c r="C2368" s="2">
        <v>8</v>
      </c>
      <c r="D2368" s="2">
        <v>1817</v>
      </c>
      <c r="E2368">
        <v>8866</v>
      </c>
      <c r="H2368" t="s">
        <v>1541</v>
      </c>
      <c r="I2368" s="2">
        <v>6315</v>
      </c>
      <c r="J2368" s="2">
        <v>0</v>
      </c>
      <c r="K2368" s="2" t="s">
        <v>869</v>
      </c>
      <c r="L2368" s="43" t="s">
        <v>4195</v>
      </c>
      <c r="P2368" s="41">
        <v>17</v>
      </c>
      <c r="Q2368" s="41">
        <v>1</v>
      </c>
      <c r="R2368" s="41">
        <v>32</v>
      </c>
      <c r="S2368" t="s">
        <v>3321</v>
      </c>
      <c r="AH2368" t="s">
        <v>359</v>
      </c>
    </row>
    <row r="2369" spans="1:34" ht="15.75">
      <c r="A2369" s="29">
        <f t="shared" si="36"/>
        <v>673</v>
      </c>
      <c r="B2369" s="2">
        <v>461</v>
      </c>
      <c r="C2369" s="2">
        <v>8</v>
      </c>
      <c r="D2369" s="2">
        <v>1817</v>
      </c>
      <c r="E2369">
        <v>8867</v>
      </c>
      <c r="H2369" t="s">
        <v>1541</v>
      </c>
      <c r="I2369" s="2">
        <v>673</v>
      </c>
      <c r="J2369" s="2">
        <v>0</v>
      </c>
      <c r="K2369" s="2" t="s">
        <v>869</v>
      </c>
      <c r="L2369" s="43" t="s">
        <v>4197</v>
      </c>
      <c r="P2369" s="41">
        <v>15</v>
      </c>
      <c r="Q2369" s="41">
        <v>7</v>
      </c>
      <c r="R2369" s="41">
        <v>34</v>
      </c>
      <c r="S2369" t="s">
        <v>5227</v>
      </c>
      <c r="AH2369" t="s">
        <v>359</v>
      </c>
    </row>
    <row r="2370" spans="1:34" ht="15.75">
      <c r="A2370" s="29">
        <f aca="true" t="shared" si="37" ref="A2370:A2433">I2370+J2370*20*X2370</f>
        <v>174</v>
      </c>
      <c r="B2370" s="22">
        <v>461</v>
      </c>
      <c r="C2370" s="2">
        <v>8</v>
      </c>
      <c r="D2370" s="2">
        <v>1817</v>
      </c>
      <c r="E2370">
        <v>8868</v>
      </c>
      <c r="H2370" s="16" t="s">
        <v>1541</v>
      </c>
      <c r="I2370" s="22">
        <v>174</v>
      </c>
      <c r="J2370" s="22">
        <v>0</v>
      </c>
      <c r="K2370" s="22" t="s">
        <v>869</v>
      </c>
      <c r="M2370" s="45"/>
      <c r="N2370" s="45"/>
      <c r="O2370" s="45"/>
      <c r="P2370" s="45"/>
      <c r="Q2370" s="45"/>
      <c r="R2370" s="45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t="s">
        <v>359</v>
      </c>
    </row>
    <row r="2371" spans="1:34" ht="15.75">
      <c r="A2371" s="29">
        <f t="shared" si="37"/>
        <v>1007</v>
      </c>
      <c r="B2371" s="22">
        <v>461</v>
      </c>
      <c r="C2371" s="2">
        <v>8</v>
      </c>
      <c r="D2371" s="2">
        <v>1817</v>
      </c>
      <c r="E2371">
        <v>8869</v>
      </c>
      <c r="H2371" s="16" t="s">
        <v>1540</v>
      </c>
      <c r="I2371" s="22">
        <v>1007</v>
      </c>
      <c r="J2371" s="22">
        <v>0</v>
      </c>
      <c r="K2371" s="22" t="s">
        <v>869</v>
      </c>
      <c r="M2371" s="45"/>
      <c r="N2371" s="45"/>
      <c r="O2371" s="45"/>
      <c r="P2371" s="45"/>
      <c r="Q2371" s="45"/>
      <c r="R2371" s="45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t="s">
        <v>359</v>
      </c>
    </row>
    <row r="2372" spans="1:34" ht="15.75">
      <c r="A2372" s="29">
        <f t="shared" si="37"/>
        <v>23400</v>
      </c>
      <c r="B2372" s="8">
        <v>461</v>
      </c>
      <c r="C2372" s="2">
        <v>8</v>
      </c>
      <c r="D2372" s="2">
        <v>1817</v>
      </c>
      <c r="E2372">
        <v>8870</v>
      </c>
      <c r="F2372" s="9"/>
      <c r="G2372" s="9"/>
      <c r="H2372" s="9" t="s">
        <v>1540</v>
      </c>
      <c r="I2372" s="8">
        <v>23400</v>
      </c>
      <c r="J2372" s="8">
        <v>0</v>
      </c>
      <c r="K2372" s="8" t="s">
        <v>870</v>
      </c>
      <c r="L2372" s="43" t="s">
        <v>5647</v>
      </c>
      <c r="M2372" s="43" t="s">
        <v>4715</v>
      </c>
      <c r="N2372" s="43" t="s">
        <v>5648</v>
      </c>
      <c r="O2372" s="41" t="s">
        <v>5649</v>
      </c>
      <c r="P2372" s="41">
        <v>21</v>
      </c>
      <c r="Q2372" s="41">
        <v>3</v>
      </c>
      <c r="R2372" s="41">
        <v>34</v>
      </c>
      <c r="S2372" t="s">
        <v>5650</v>
      </c>
      <c r="T2372" t="s">
        <v>5651</v>
      </c>
      <c r="V2372" t="s">
        <v>3779</v>
      </c>
      <c r="AH2372" t="s">
        <v>359</v>
      </c>
    </row>
    <row r="2373" spans="1:34" ht="15.75">
      <c r="A2373" s="29">
        <f t="shared" si="37"/>
        <v>91</v>
      </c>
      <c r="B2373" s="22">
        <v>462</v>
      </c>
      <c r="C2373" s="2">
        <v>8</v>
      </c>
      <c r="D2373" s="2">
        <v>1817</v>
      </c>
      <c r="E2373">
        <v>8905</v>
      </c>
      <c r="H2373" s="16" t="s">
        <v>1541</v>
      </c>
      <c r="I2373" s="22">
        <v>91</v>
      </c>
      <c r="J2373" s="22">
        <v>0</v>
      </c>
      <c r="K2373" s="22" t="s">
        <v>870</v>
      </c>
      <c r="M2373" s="45"/>
      <c r="N2373" s="45"/>
      <c r="O2373" s="45"/>
      <c r="P2373" s="45"/>
      <c r="Q2373" s="45"/>
      <c r="R2373" s="45"/>
      <c r="S2373" s="16"/>
      <c r="T2373" s="16"/>
      <c r="U2373" s="16"/>
      <c r="V2373" s="16"/>
      <c r="W2373" s="16"/>
      <c r="X2373" s="16"/>
      <c r="Y2373" s="16"/>
      <c r="AA2373" s="16"/>
      <c r="AB2373" s="16"/>
      <c r="AC2373" s="16"/>
      <c r="AD2373" s="16"/>
      <c r="AE2373" s="16"/>
      <c r="AF2373" s="16"/>
      <c r="AG2373" s="16"/>
      <c r="AH2373" t="s">
        <v>359</v>
      </c>
    </row>
    <row r="2374" spans="1:34" ht="15.75">
      <c r="A2374" s="29">
        <f t="shared" si="37"/>
        <v>201</v>
      </c>
      <c r="B2374" s="2">
        <v>462</v>
      </c>
      <c r="C2374" s="2">
        <v>8</v>
      </c>
      <c r="D2374" s="2">
        <v>1817</v>
      </c>
      <c r="E2374">
        <v>8906</v>
      </c>
      <c r="H2374" t="s">
        <v>1540</v>
      </c>
      <c r="I2374" s="2">
        <v>201</v>
      </c>
      <c r="J2374" s="2">
        <v>0</v>
      </c>
      <c r="K2374" s="8" t="s">
        <v>870</v>
      </c>
      <c r="L2374" s="43" t="s">
        <v>2303</v>
      </c>
      <c r="P2374" s="41">
        <v>30</v>
      </c>
      <c r="Q2374" s="41">
        <v>9</v>
      </c>
      <c r="R2374" s="41">
        <v>38</v>
      </c>
      <c r="S2374" t="s">
        <v>3321</v>
      </c>
      <c r="AH2374" t="s">
        <v>359</v>
      </c>
    </row>
    <row r="2375" spans="1:34" ht="15.75">
      <c r="A2375" s="29">
        <f t="shared" si="37"/>
        <v>708</v>
      </c>
      <c r="B2375" s="2">
        <v>462</v>
      </c>
      <c r="C2375" s="2">
        <v>8</v>
      </c>
      <c r="D2375" s="2">
        <v>1817</v>
      </c>
      <c r="E2375">
        <v>8907</v>
      </c>
      <c r="H2375" t="s">
        <v>1540</v>
      </c>
      <c r="I2375" s="2">
        <v>708</v>
      </c>
      <c r="J2375" s="2">
        <v>0</v>
      </c>
      <c r="K2375" s="8" t="s">
        <v>870</v>
      </c>
      <c r="L2375" s="43" t="s">
        <v>2304</v>
      </c>
      <c r="P2375" s="41">
        <v>31</v>
      </c>
      <c r="Q2375" s="41">
        <v>3</v>
      </c>
      <c r="R2375" s="41">
        <v>63</v>
      </c>
      <c r="S2375" t="s">
        <v>5227</v>
      </c>
      <c r="AH2375" t="s">
        <v>359</v>
      </c>
    </row>
    <row r="2376" spans="1:34" ht="15.75">
      <c r="A2376" s="29">
        <f t="shared" si="37"/>
        <v>103</v>
      </c>
      <c r="B2376" s="2">
        <v>462</v>
      </c>
      <c r="C2376" s="2">
        <v>8</v>
      </c>
      <c r="D2376" s="2">
        <v>1817</v>
      </c>
      <c r="E2376">
        <v>8908</v>
      </c>
      <c r="H2376" t="s">
        <v>1541</v>
      </c>
      <c r="I2376" s="2">
        <v>103</v>
      </c>
      <c r="J2376" s="2">
        <v>0</v>
      </c>
      <c r="K2376" s="8" t="s">
        <v>870</v>
      </c>
      <c r="L2376" s="43" t="s">
        <v>2304</v>
      </c>
      <c r="P2376" s="41">
        <v>23</v>
      </c>
      <c r="Q2376" s="41">
        <v>10</v>
      </c>
      <c r="R2376" s="41">
        <v>40</v>
      </c>
      <c r="S2376" t="s">
        <v>3321</v>
      </c>
      <c r="AH2376" t="s">
        <v>359</v>
      </c>
    </row>
    <row r="2377" spans="1:34" ht="15.75">
      <c r="A2377" s="29">
        <f t="shared" si="37"/>
        <v>20439</v>
      </c>
      <c r="B2377" s="8">
        <v>462</v>
      </c>
      <c r="C2377" s="2">
        <v>8</v>
      </c>
      <c r="D2377" s="2">
        <v>1817</v>
      </c>
      <c r="E2377">
        <v>8910</v>
      </c>
      <c r="F2377" s="9"/>
      <c r="G2377" s="9"/>
      <c r="H2377" s="9" t="s">
        <v>1541</v>
      </c>
      <c r="I2377" s="8">
        <v>20439</v>
      </c>
      <c r="J2377" s="8">
        <v>0</v>
      </c>
      <c r="K2377" s="8" t="s">
        <v>870</v>
      </c>
      <c r="L2377" s="43" t="s">
        <v>5657</v>
      </c>
      <c r="M2377" s="43" t="s">
        <v>5658</v>
      </c>
      <c r="O2377" s="41" t="s">
        <v>2244</v>
      </c>
      <c r="P2377" s="41">
        <v>24</v>
      </c>
      <c r="Q2377" s="41">
        <v>12</v>
      </c>
      <c r="S2377" t="s">
        <v>5659</v>
      </c>
      <c r="T2377" t="s">
        <v>5818</v>
      </c>
      <c r="U2377" t="s">
        <v>5660</v>
      </c>
      <c r="V2377" t="s">
        <v>3165</v>
      </c>
      <c r="AH2377" t="s">
        <v>359</v>
      </c>
    </row>
    <row r="2378" spans="1:34" ht="15.75">
      <c r="A2378" s="29">
        <f t="shared" si="37"/>
        <v>43469</v>
      </c>
      <c r="B2378" s="2">
        <v>462</v>
      </c>
      <c r="C2378" s="2">
        <v>8</v>
      </c>
      <c r="D2378" s="2">
        <v>1817</v>
      </c>
      <c r="E2378">
        <v>8911</v>
      </c>
      <c r="H2378" t="s">
        <v>1541</v>
      </c>
      <c r="I2378" s="2">
        <v>43469</v>
      </c>
      <c r="J2378" s="2">
        <v>0</v>
      </c>
      <c r="K2378" s="8" t="s">
        <v>870</v>
      </c>
      <c r="L2378" s="43" t="s">
        <v>5661</v>
      </c>
      <c r="M2378" s="41" t="s">
        <v>5662</v>
      </c>
      <c r="O2378" s="41" t="s">
        <v>5663</v>
      </c>
      <c r="P2378" s="41">
        <v>5</v>
      </c>
      <c r="Q2378" s="41">
        <v>4</v>
      </c>
      <c r="S2378" t="s">
        <v>5664</v>
      </c>
      <c r="T2378" t="s">
        <v>2974</v>
      </c>
      <c r="U2378" t="s">
        <v>5665</v>
      </c>
      <c r="V2378" t="s">
        <v>1419</v>
      </c>
      <c r="AH2378" t="s">
        <v>359</v>
      </c>
    </row>
    <row r="2379" spans="1:34" ht="15.75">
      <c r="A2379" s="29">
        <f t="shared" si="37"/>
        <v>300</v>
      </c>
      <c r="B2379" s="2">
        <v>462</v>
      </c>
      <c r="C2379" s="2">
        <v>8</v>
      </c>
      <c r="D2379" s="2">
        <v>1817</v>
      </c>
      <c r="E2379">
        <v>8912</v>
      </c>
      <c r="H2379" t="s">
        <v>1541</v>
      </c>
      <c r="I2379" s="2">
        <v>300</v>
      </c>
      <c r="J2379" s="2">
        <v>0</v>
      </c>
      <c r="K2379" s="8" t="s">
        <v>870</v>
      </c>
      <c r="L2379" s="43" t="s">
        <v>2318</v>
      </c>
      <c r="P2379" s="41">
        <v>6</v>
      </c>
      <c r="Q2379" s="41">
        <v>3</v>
      </c>
      <c r="R2379" s="41">
        <v>45</v>
      </c>
      <c r="S2379" t="s">
        <v>3321</v>
      </c>
      <c r="AH2379" t="s">
        <v>359</v>
      </c>
    </row>
    <row r="2380" spans="1:34" ht="15.75">
      <c r="A2380" s="29">
        <f t="shared" si="37"/>
        <v>140</v>
      </c>
      <c r="B2380" s="2">
        <v>462</v>
      </c>
      <c r="C2380" s="2">
        <v>8</v>
      </c>
      <c r="D2380" s="2">
        <v>1817</v>
      </c>
      <c r="E2380">
        <v>8913</v>
      </c>
      <c r="H2380" t="s">
        <v>850</v>
      </c>
      <c r="I2380" s="2">
        <v>140</v>
      </c>
      <c r="J2380" s="2">
        <v>0</v>
      </c>
      <c r="K2380" s="8" t="s">
        <v>870</v>
      </c>
      <c r="L2380" s="43" t="s">
        <v>2318</v>
      </c>
      <c r="P2380" s="41">
        <v>8</v>
      </c>
      <c r="Q2380" s="41">
        <v>1</v>
      </c>
      <c r="R2380" s="41">
        <v>35</v>
      </c>
      <c r="S2380" t="s">
        <v>3321</v>
      </c>
      <c r="AH2380" t="s">
        <v>359</v>
      </c>
    </row>
    <row r="2381" spans="1:34" ht="15.75">
      <c r="A2381" s="29">
        <f t="shared" si="37"/>
        <v>1600</v>
      </c>
      <c r="B2381" s="2">
        <v>462</v>
      </c>
      <c r="C2381" s="2">
        <v>8</v>
      </c>
      <c r="D2381" s="2">
        <v>1817</v>
      </c>
      <c r="E2381">
        <v>8914</v>
      </c>
      <c r="H2381" t="s">
        <v>850</v>
      </c>
      <c r="I2381" s="2">
        <v>1600</v>
      </c>
      <c r="J2381" s="2">
        <v>0</v>
      </c>
      <c r="K2381" s="8" t="s">
        <v>870</v>
      </c>
      <c r="L2381" s="43" t="s">
        <v>2318</v>
      </c>
      <c r="P2381" s="41">
        <v>11</v>
      </c>
      <c r="Q2381" s="41">
        <v>12</v>
      </c>
      <c r="R2381" s="41">
        <v>39</v>
      </c>
      <c r="S2381" t="s">
        <v>3321</v>
      </c>
      <c r="AH2381" t="s">
        <v>359</v>
      </c>
    </row>
    <row r="2382" spans="1:34" ht="15.75">
      <c r="A2382" s="29">
        <f t="shared" si="37"/>
        <v>726</v>
      </c>
      <c r="B2382" s="2">
        <v>462</v>
      </c>
      <c r="C2382" s="2">
        <v>8</v>
      </c>
      <c r="D2382" s="2">
        <v>1817</v>
      </c>
      <c r="E2382">
        <v>8915</v>
      </c>
      <c r="H2382" t="s">
        <v>1541</v>
      </c>
      <c r="I2382" s="2">
        <v>726</v>
      </c>
      <c r="J2382" s="2">
        <v>0</v>
      </c>
      <c r="K2382" s="8" t="s">
        <v>870</v>
      </c>
      <c r="L2382" s="43" t="s">
        <v>2305</v>
      </c>
      <c r="P2382" s="41">
        <v>13</v>
      </c>
      <c r="Q2382" s="41">
        <v>5</v>
      </c>
      <c r="R2382" s="41">
        <v>42</v>
      </c>
      <c r="S2382" t="s">
        <v>3321</v>
      </c>
      <c r="AH2382" t="s">
        <v>359</v>
      </c>
    </row>
    <row r="2383" spans="1:34" ht="15.75">
      <c r="A2383" s="29">
        <f t="shared" si="37"/>
        <v>400</v>
      </c>
      <c r="B2383" s="2">
        <v>462</v>
      </c>
      <c r="C2383" s="2">
        <v>8</v>
      </c>
      <c r="D2383" s="2">
        <v>1817</v>
      </c>
      <c r="E2383">
        <v>8916</v>
      </c>
      <c r="H2383" t="s">
        <v>1540</v>
      </c>
      <c r="I2383" s="2">
        <v>400</v>
      </c>
      <c r="J2383" s="2">
        <v>0</v>
      </c>
      <c r="K2383" s="8" t="s">
        <v>870</v>
      </c>
      <c r="L2383" s="43" t="s">
        <v>2305</v>
      </c>
      <c r="P2383" s="41">
        <v>21</v>
      </c>
      <c r="Q2383" s="41">
        <v>6</v>
      </c>
      <c r="R2383" s="41">
        <v>67</v>
      </c>
      <c r="S2383" t="s">
        <v>4325</v>
      </c>
      <c r="AH2383" t="s">
        <v>359</v>
      </c>
    </row>
    <row r="2384" spans="1:34" ht="15.75">
      <c r="A2384" s="29">
        <f t="shared" si="37"/>
        <v>765</v>
      </c>
      <c r="B2384" s="2">
        <v>462</v>
      </c>
      <c r="C2384" s="2">
        <v>8</v>
      </c>
      <c r="D2384" s="2">
        <v>1817</v>
      </c>
      <c r="E2384">
        <v>8917</v>
      </c>
      <c r="H2384" t="s">
        <v>1540</v>
      </c>
      <c r="I2384" s="2">
        <f>400+190+175</f>
        <v>765</v>
      </c>
      <c r="J2384" s="2">
        <v>0</v>
      </c>
      <c r="K2384" s="8" t="s">
        <v>870</v>
      </c>
      <c r="L2384" s="43" t="s">
        <v>2305</v>
      </c>
      <c r="P2384" s="41">
        <v>6</v>
      </c>
      <c r="Q2384" s="41">
        <v>12</v>
      </c>
      <c r="R2384" s="41">
        <v>67</v>
      </c>
      <c r="S2384" t="s">
        <v>3321</v>
      </c>
      <c r="AH2384" t="s">
        <v>359</v>
      </c>
    </row>
    <row r="2385" spans="1:34" ht="15.75">
      <c r="A2385" s="29">
        <f t="shared" si="37"/>
        <v>3694</v>
      </c>
      <c r="B2385" s="2">
        <v>462</v>
      </c>
      <c r="C2385" s="2">
        <v>8</v>
      </c>
      <c r="D2385" s="2">
        <v>1817</v>
      </c>
      <c r="E2385">
        <v>8918</v>
      </c>
      <c r="H2385" t="s">
        <v>1540</v>
      </c>
      <c r="I2385" s="2">
        <v>3694</v>
      </c>
      <c r="J2385" s="2">
        <v>0</v>
      </c>
      <c r="K2385" s="8" t="s">
        <v>870</v>
      </c>
      <c r="L2385" s="43" t="s">
        <v>5666</v>
      </c>
      <c r="P2385" s="41">
        <v>3</v>
      </c>
      <c r="Q2385" s="41">
        <v>5</v>
      </c>
      <c r="R2385" s="41">
        <v>54</v>
      </c>
      <c r="S2385" t="s">
        <v>5227</v>
      </c>
      <c r="AH2385" t="s">
        <v>359</v>
      </c>
    </row>
    <row r="2386" spans="1:34" ht="15.75">
      <c r="A2386" s="29">
        <f t="shared" si="37"/>
        <v>703</v>
      </c>
      <c r="B2386" s="2">
        <v>462</v>
      </c>
      <c r="C2386" s="2">
        <v>8</v>
      </c>
      <c r="D2386" s="2">
        <v>1817</v>
      </c>
      <c r="E2386">
        <v>8919</v>
      </c>
      <c r="H2386" t="s">
        <v>1541</v>
      </c>
      <c r="I2386" s="2">
        <v>703</v>
      </c>
      <c r="J2386" s="2">
        <v>0</v>
      </c>
      <c r="K2386" s="8" t="s">
        <v>870</v>
      </c>
      <c r="L2386" s="43" t="s">
        <v>2307</v>
      </c>
      <c r="P2386" s="41">
        <v>20</v>
      </c>
      <c r="Q2386" s="41">
        <v>9</v>
      </c>
      <c r="R2386" s="41">
        <v>28</v>
      </c>
      <c r="S2386" t="s">
        <v>3321</v>
      </c>
      <c r="AH2386" t="s">
        <v>359</v>
      </c>
    </row>
    <row r="2387" spans="1:34" ht="15.75">
      <c r="A2387" s="29">
        <f t="shared" si="37"/>
        <v>292</v>
      </c>
      <c r="B2387" s="2">
        <v>463</v>
      </c>
      <c r="C2387" s="2">
        <v>8</v>
      </c>
      <c r="D2387" s="2">
        <v>1817</v>
      </c>
      <c r="E2387">
        <v>8951</v>
      </c>
      <c r="H2387" t="s">
        <v>1541</v>
      </c>
      <c r="I2387" s="2">
        <v>292</v>
      </c>
      <c r="J2387" s="2">
        <v>0</v>
      </c>
      <c r="K2387" s="8" t="s">
        <v>870</v>
      </c>
      <c r="L2387" s="43" t="s">
        <v>3774</v>
      </c>
      <c r="P2387" s="41">
        <v>31</v>
      </c>
      <c r="Q2387" s="41">
        <v>1</v>
      </c>
      <c r="R2387" s="41">
        <v>54</v>
      </c>
      <c r="S2387" t="s">
        <v>3321</v>
      </c>
      <c r="AH2387" t="s">
        <v>359</v>
      </c>
    </row>
    <row r="2388" spans="1:34" ht="15.75">
      <c r="A2388" s="29">
        <f t="shared" si="37"/>
        <v>74356</v>
      </c>
      <c r="B2388" s="2">
        <v>463</v>
      </c>
      <c r="C2388" s="2">
        <v>8</v>
      </c>
      <c r="D2388" s="2">
        <v>1817</v>
      </c>
      <c r="E2388">
        <v>8952</v>
      </c>
      <c r="H2388" t="s">
        <v>1540</v>
      </c>
      <c r="I2388" s="2">
        <v>18356</v>
      </c>
      <c r="J2388" s="2">
        <v>2800</v>
      </c>
      <c r="K2388" s="8" t="s">
        <v>870</v>
      </c>
      <c r="L2388" s="43" t="s">
        <v>3775</v>
      </c>
      <c r="M2388" s="41" t="s">
        <v>4783</v>
      </c>
      <c r="N2388" s="41" t="s">
        <v>5667</v>
      </c>
      <c r="O2388" s="41" t="s">
        <v>5668</v>
      </c>
      <c r="P2388" s="41">
        <v>7</v>
      </c>
      <c r="Q2388" s="41">
        <v>7</v>
      </c>
      <c r="R2388" s="41">
        <v>86</v>
      </c>
      <c r="S2388" t="s">
        <v>5669</v>
      </c>
      <c r="T2388" t="s">
        <v>4784</v>
      </c>
      <c r="V2388" t="s">
        <v>5670</v>
      </c>
      <c r="X2388">
        <v>1</v>
      </c>
      <c r="Y2388" t="s">
        <v>5668</v>
      </c>
      <c r="AH2388" t="s">
        <v>359</v>
      </c>
    </row>
    <row r="2389" spans="1:34" ht="15.75">
      <c r="A2389" s="29">
        <f t="shared" si="37"/>
        <v>975</v>
      </c>
      <c r="B2389" s="2">
        <v>463</v>
      </c>
      <c r="C2389" s="2">
        <v>8</v>
      </c>
      <c r="D2389" s="2">
        <v>1817</v>
      </c>
      <c r="E2389">
        <v>8953</v>
      </c>
      <c r="H2389" t="s">
        <v>1541</v>
      </c>
      <c r="I2389" s="2">
        <v>975</v>
      </c>
      <c r="J2389" s="2">
        <v>0</v>
      </c>
      <c r="K2389" s="8" t="s">
        <v>870</v>
      </c>
      <c r="L2389" s="43" t="s">
        <v>3774</v>
      </c>
      <c r="P2389" s="41">
        <v>8</v>
      </c>
      <c r="Q2389" s="41">
        <v>10</v>
      </c>
      <c r="R2389" s="41">
        <v>64</v>
      </c>
      <c r="S2389" t="s">
        <v>5671</v>
      </c>
      <c r="AH2389" t="s">
        <v>359</v>
      </c>
    </row>
    <row r="2390" spans="1:34" ht="15.75">
      <c r="A2390" s="29">
        <f t="shared" si="37"/>
        <v>179</v>
      </c>
      <c r="B2390" s="2">
        <v>463</v>
      </c>
      <c r="C2390" s="2">
        <v>8</v>
      </c>
      <c r="D2390" s="2">
        <v>1817</v>
      </c>
      <c r="E2390">
        <v>8954</v>
      </c>
      <c r="H2390" t="s">
        <v>1540</v>
      </c>
      <c r="I2390" s="2">
        <v>179</v>
      </c>
      <c r="J2390" s="2">
        <v>0</v>
      </c>
      <c r="K2390" s="8" t="s">
        <v>870</v>
      </c>
      <c r="L2390" s="43" t="s">
        <v>2311</v>
      </c>
      <c r="P2390" s="41">
        <v>16</v>
      </c>
      <c r="Q2390" s="41">
        <v>3</v>
      </c>
      <c r="R2390" s="41">
        <v>89</v>
      </c>
      <c r="S2390" t="s">
        <v>3324</v>
      </c>
      <c r="AH2390" t="s">
        <v>359</v>
      </c>
    </row>
    <row r="2391" spans="1:34" ht="15.75">
      <c r="A2391" s="29">
        <f t="shared" si="37"/>
        <v>30</v>
      </c>
      <c r="B2391" s="2">
        <v>463</v>
      </c>
      <c r="C2391" s="2">
        <v>8</v>
      </c>
      <c r="D2391" s="2">
        <v>1817</v>
      </c>
      <c r="E2391">
        <v>8955</v>
      </c>
      <c r="H2391" t="s">
        <v>1540</v>
      </c>
      <c r="I2391" s="2">
        <v>30</v>
      </c>
      <c r="J2391" s="2">
        <v>0</v>
      </c>
      <c r="K2391" s="8" t="s">
        <v>870</v>
      </c>
      <c r="L2391" s="43" t="s">
        <v>2311</v>
      </c>
      <c r="P2391" s="41">
        <v>9</v>
      </c>
      <c r="Q2391" s="41">
        <v>5</v>
      </c>
      <c r="R2391" s="41">
        <v>81</v>
      </c>
      <c r="S2391" t="s">
        <v>3321</v>
      </c>
      <c r="AH2391" t="s">
        <v>359</v>
      </c>
    </row>
    <row r="2392" spans="1:34" ht="15.75">
      <c r="A2392" s="29">
        <f t="shared" si="37"/>
        <v>95</v>
      </c>
      <c r="B2392" s="2">
        <v>463</v>
      </c>
      <c r="C2392" s="2">
        <v>8</v>
      </c>
      <c r="D2392" s="2">
        <v>1817</v>
      </c>
      <c r="E2392">
        <v>8956</v>
      </c>
      <c r="H2392" t="s">
        <v>1541</v>
      </c>
      <c r="I2392" s="2">
        <v>95</v>
      </c>
      <c r="J2392" s="2">
        <v>0</v>
      </c>
      <c r="K2392" s="8" t="s">
        <v>870</v>
      </c>
      <c r="L2392" s="43" t="s">
        <v>2311</v>
      </c>
      <c r="P2392" s="41">
        <v>30</v>
      </c>
      <c r="Q2392" s="41">
        <v>5</v>
      </c>
      <c r="R2392" s="41">
        <v>64</v>
      </c>
      <c r="S2392" t="s">
        <v>3329</v>
      </c>
      <c r="AH2392" t="s">
        <v>359</v>
      </c>
    </row>
    <row r="2393" spans="1:34" ht="15.75">
      <c r="A2393" s="29">
        <f t="shared" si="37"/>
        <v>10192</v>
      </c>
      <c r="B2393" s="2">
        <v>463</v>
      </c>
      <c r="C2393" s="2">
        <v>8</v>
      </c>
      <c r="D2393" s="2">
        <v>1817</v>
      </c>
      <c r="E2393">
        <v>8957</v>
      </c>
      <c r="H2393" t="s">
        <v>1540</v>
      </c>
      <c r="I2393" s="2">
        <v>10192</v>
      </c>
      <c r="J2393" s="2">
        <v>0</v>
      </c>
      <c r="K2393" s="8" t="s">
        <v>870</v>
      </c>
      <c r="L2393" s="43" t="s">
        <v>2320</v>
      </c>
      <c r="P2393" s="41">
        <v>1</v>
      </c>
      <c r="Q2393" s="41">
        <v>1</v>
      </c>
      <c r="R2393" s="41">
        <v>58</v>
      </c>
      <c r="S2393" t="s">
        <v>3324</v>
      </c>
      <c r="AH2393" t="s">
        <v>359</v>
      </c>
    </row>
    <row r="2394" spans="1:34" ht="15.75">
      <c r="A2394" s="29">
        <f t="shared" si="37"/>
        <v>49884</v>
      </c>
      <c r="B2394" s="2">
        <v>463</v>
      </c>
      <c r="C2394" s="2">
        <v>8</v>
      </c>
      <c r="D2394" s="2">
        <v>1817</v>
      </c>
      <c r="E2394">
        <v>8958</v>
      </c>
      <c r="H2394" t="s">
        <v>1541</v>
      </c>
      <c r="I2394" s="2">
        <v>1884</v>
      </c>
      <c r="J2394" s="2">
        <v>2400</v>
      </c>
      <c r="K2394" s="8" t="s">
        <v>870</v>
      </c>
      <c r="L2394" s="43" t="s">
        <v>5672</v>
      </c>
      <c r="M2394" s="41" t="s">
        <v>5673</v>
      </c>
      <c r="N2394" s="41" t="s">
        <v>1551</v>
      </c>
      <c r="O2394" s="41" t="s">
        <v>5674</v>
      </c>
      <c r="P2394" s="41">
        <v>7</v>
      </c>
      <c r="Q2394" s="41">
        <v>12</v>
      </c>
      <c r="R2394" s="41">
        <v>58</v>
      </c>
      <c r="S2394" t="s">
        <v>5675</v>
      </c>
      <c r="T2394" t="s">
        <v>5676</v>
      </c>
      <c r="V2394" t="s">
        <v>5677</v>
      </c>
      <c r="X2394">
        <v>1</v>
      </c>
      <c r="Y2394" t="s">
        <v>5674</v>
      </c>
      <c r="AH2394" t="s">
        <v>359</v>
      </c>
    </row>
    <row r="2395" spans="1:34" ht="15.75">
      <c r="A2395" s="29">
        <f t="shared" si="37"/>
        <v>694</v>
      </c>
      <c r="B2395" s="2">
        <v>463</v>
      </c>
      <c r="C2395" s="2">
        <v>8</v>
      </c>
      <c r="D2395" s="2">
        <v>1817</v>
      </c>
      <c r="E2395">
        <v>8959</v>
      </c>
      <c r="H2395" t="s">
        <v>1541</v>
      </c>
      <c r="I2395" s="2">
        <v>694</v>
      </c>
      <c r="J2395" s="2">
        <v>0</v>
      </c>
      <c r="K2395" s="8" t="s">
        <v>870</v>
      </c>
      <c r="L2395" s="43" t="s">
        <v>5225</v>
      </c>
      <c r="P2395" s="41">
        <v>22</v>
      </c>
      <c r="Q2395" s="41">
        <v>3</v>
      </c>
      <c r="R2395" s="41">
        <v>23</v>
      </c>
      <c r="S2395" t="s">
        <v>3321</v>
      </c>
      <c r="AH2395" t="s">
        <v>359</v>
      </c>
    </row>
    <row r="2396" spans="1:34" ht="15.75">
      <c r="A2396" s="29">
        <f t="shared" si="37"/>
        <v>383835</v>
      </c>
      <c r="B2396" s="2">
        <v>463</v>
      </c>
      <c r="C2396" s="2">
        <v>8</v>
      </c>
      <c r="D2396" s="2">
        <v>1817</v>
      </c>
      <c r="E2396">
        <v>8960</v>
      </c>
      <c r="H2396" t="s">
        <v>1540</v>
      </c>
      <c r="I2396" s="2">
        <v>383835</v>
      </c>
      <c r="J2396" s="2">
        <v>0</v>
      </c>
      <c r="K2396" s="8" t="s">
        <v>870</v>
      </c>
      <c r="L2396" s="43" t="s">
        <v>5678</v>
      </c>
      <c r="M2396" s="41" t="s">
        <v>4930</v>
      </c>
      <c r="N2396" s="41" t="s">
        <v>5679</v>
      </c>
      <c r="O2396" s="41" t="s">
        <v>5680</v>
      </c>
      <c r="P2396" s="41">
        <v>14</v>
      </c>
      <c r="Q2396" s="41">
        <v>3</v>
      </c>
      <c r="R2396" s="41">
        <v>54</v>
      </c>
      <c r="S2396" t="s">
        <v>2478</v>
      </c>
      <c r="T2396" t="s">
        <v>4649</v>
      </c>
      <c r="V2396" t="s">
        <v>2479</v>
      </c>
      <c r="AH2396" t="s">
        <v>359</v>
      </c>
    </row>
    <row r="2397" spans="1:34" ht="15.75">
      <c r="A2397" s="29">
        <f t="shared" si="37"/>
        <v>4210</v>
      </c>
      <c r="B2397" s="2">
        <v>463</v>
      </c>
      <c r="C2397" s="2">
        <v>8</v>
      </c>
      <c r="D2397" s="2">
        <v>1817</v>
      </c>
      <c r="E2397">
        <v>8961</v>
      </c>
      <c r="H2397" t="s">
        <v>1540</v>
      </c>
      <c r="I2397" s="2">
        <v>4210</v>
      </c>
      <c r="J2397" s="2">
        <v>0</v>
      </c>
      <c r="K2397" s="8" t="s">
        <v>870</v>
      </c>
      <c r="L2397" s="43" t="s">
        <v>5225</v>
      </c>
      <c r="P2397" s="41">
        <v>31</v>
      </c>
      <c r="Q2397" s="41">
        <v>3</v>
      </c>
      <c r="R2397" s="41" t="s">
        <v>868</v>
      </c>
      <c r="S2397" t="s">
        <v>5227</v>
      </c>
      <c r="AH2397" t="s">
        <v>359</v>
      </c>
    </row>
    <row r="2398" spans="1:34" ht="15.75">
      <c r="A2398" s="29">
        <f t="shared" si="37"/>
        <v>28</v>
      </c>
      <c r="B2398" s="2">
        <v>463</v>
      </c>
      <c r="C2398" s="2">
        <v>8</v>
      </c>
      <c r="D2398" s="2">
        <v>1817</v>
      </c>
      <c r="E2398">
        <v>8962</v>
      </c>
      <c r="H2398" t="s">
        <v>1540</v>
      </c>
      <c r="I2398" s="2">
        <v>28</v>
      </c>
      <c r="J2398" s="2">
        <v>0</v>
      </c>
      <c r="K2398" s="8" t="s">
        <v>870</v>
      </c>
      <c r="L2398" s="43" t="s">
        <v>5140</v>
      </c>
      <c r="P2398" s="41">
        <v>22</v>
      </c>
      <c r="Q2398" s="41">
        <v>2</v>
      </c>
      <c r="R2398" s="41">
        <v>76</v>
      </c>
      <c r="S2398" t="s">
        <v>3321</v>
      </c>
      <c r="AH2398" t="s">
        <v>359</v>
      </c>
    </row>
    <row r="2399" spans="1:34" ht="15.75">
      <c r="A2399" s="29">
        <f t="shared" si="37"/>
        <v>1892</v>
      </c>
      <c r="B2399" s="8">
        <v>463</v>
      </c>
      <c r="C2399" s="2">
        <v>8</v>
      </c>
      <c r="D2399" s="2">
        <v>1817</v>
      </c>
      <c r="E2399">
        <v>8963</v>
      </c>
      <c r="F2399" s="9"/>
      <c r="G2399" s="9"/>
      <c r="H2399" s="9" t="s">
        <v>1541</v>
      </c>
      <c r="I2399" s="8">
        <v>1892</v>
      </c>
      <c r="J2399" s="8">
        <v>0</v>
      </c>
      <c r="K2399" s="8" t="s">
        <v>870</v>
      </c>
      <c r="L2399" s="43" t="s">
        <v>4207</v>
      </c>
      <c r="M2399" s="43"/>
      <c r="N2399" s="43"/>
      <c r="O2399" s="43"/>
      <c r="P2399" s="43">
        <v>8</v>
      </c>
      <c r="Q2399" s="43">
        <v>1</v>
      </c>
      <c r="R2399" s="43">
        <v>58</v>
      </c>
      <c r="S2399" s="9" t="s">
        <v>3329</v>
      </c>
      <c r="T2399" s="9"/>
      <c r="U2399" s="9"/>
      <c r="V2399" s="9"/>
      <c r="W2399" s="9"/>
      <c r="X2399" s="9"/>
      <c r="AH2399" t="s">
        <v>359</v>
      </c>
    </row>
    <row r="2400" spans="1:34" ht="15.75">
      <c r="A2400" s="29">
        <f t="shared" si="37"/>
        <v>28794</v>
      </c>
      <c r="B2400" s="8">
        <v>463</v>
      </c>
      <c r="C2400" s="2">
        <v>8</v>
      </c>
      <c r="D2400" s="2">
        <v>1817</v>
      </c>
      <c r="E2400">
        <v>8964</v>
      </c>
      <c r="F2400" s="9"/>
      <c r="G2400" s="9"/>
      <c r="H2400" s="9" t="s">
        <v>1540</v>
      </c>
      <c r="I2400" s="8">
        <f>26794+1500+500</f>
        <v>28794</v>
      </c>
      <c r="J2400" s="8">
        <v>0</v>
      </c>
      <c r="K2400" s="8" t="s">
        <v>870</v>
      </c>
      <c r="L2400" s="43" t="s">
        <v>2480</v>
      </c>
      <c r="M2400" s="43" t="s">
        <v>5838</v>
      </c>
      <c r="N2400" s="43" t="s">
        <v>2481</v>
      </c>
      <c r="O2400" s="43" t="s">
        <v>2482</v>
      </c>
      <c r="P2400" s="43">
        <v>11</v>
      </c>
      <c r="Q2400" s="43">
        <v>7</v>
      </c>
      <c r="R2400" s="43">
        <v>53</v>
      </c>
      <c r="S2400" s="9" t="s">
        <v>2483</v>
      </c>
      <c r="T2400" s="9" t="s">
        <v>2484</v>
      </c>
      <c r="V2400" s="9" t="s">
        <v>3553</v>
      </c>
      <c r="W2400" s="9"/>
      <c r="X2400" s="9"/>
      <c r="AH2400" t="s">
        <v>359</v>
      </c>
    </row>
    <row r="2401" spans="1:34" ht="15.75">
      <c r="A2401" s="29">
        <f t="shared" si="37"/>
        <v>47533</v>
      </c>
      <c r="B2401" s="8">
        <v>463</v>
      </c>
      <c r="C2401" s="2">
        <v>8</v>
      </c>
      <c r="D2401" s="2">
        <v>1817</v>
      </c>
      <c r="E2401">
        <v>8965</v>
      </c>
      <c r="F2401" s="9"/>
      <c r="G2401" s="9"/>
      <c r="H2401" s="9" t="s">
        <v>1541</v>
      </c>
      <c r="I2401" s="8">
        <v>3533</v>
      </c>
      <c r="J2401" s="8">
        <v>2200</v>
      </c>
      <c r="K2401" s="8" t="s">
        <v>870</v>
      </c>
      <c r="L2401" s="43" t="s">
        <v>2485</v>
      </c>
      <c r="M2401" s="43" t="s">
        <v>3449</v>
      </c>
      <c r="N2401" s="43" t="s">
        <v>719</v>
      </c>
      <c r="O2401" s="43" t="s">
        <v>2486</v>
      </c>
      <c r="P2401" s="43">
        <v>16</v>
      </c>
      <c r="Q2401" s="43">
        <v>9</v>
      </c>
      <c r="R2401" s="43">
        <v>43</v>
      </c>
      <c r="S2401" s="9" t="s">
        <v>2487</v>
      </c>
      <c r="T2401" s="9" t="s">
        <v>4785</v>
      </c>
      <c r="V2401" s="9" t="s">
        <v>2488</v>
      </c>
      <c r="W2401" s="9"/>
      <c r="X2401" s="9">
        <v>1</v>
      </c>
      <c r="Y2401" t="s">
        <v>2486</v>
      </c>
      <c r="AH2401" t="s">
        <v>359</v>
      </c>
    </row>
    <row r="2402" spans="1:34" ht="15.75">
      <c r="A2402" s="29">
        <f t="shared" si="37"/>
        <v>4120</v>
      </c>
      <c r="B2402" s="8">
        <v>463</v>
      </c>
      <c r="C2402" s="2">
        <v>8</v>
      </c>
      <c r="D2402" s="2">
        <v>1817</v>
      </c>
      <c r="E2402">
        <v>8966</v>
      </c>
      <c r="F2402" s="9"/>
      <c r="G2402" s="9"/>
      <c r="H2402" s="9" t="s">
        <v>1541</v>
      </c>
      <c r="I2402" s="8">
        <v>4120</v>
      </c>
      <c r="J2402" s="8">
        <v>0</v>
      </c>
      <c r="K2402" s="8" t="s">
        <v>870</v>
      </c>
      <c r="L2402" s="43" t="s">
        <v>4208</v>
      </c>
      <c r="M2402" s="43"/>
      <c r="N2402" s="43"/>
      <c r="O2402" s="43"/>
      <c r="P2402" s="43">
        <v>5</v>
      </c>
      <c r="Q2402" s="43">
        <v>11</v>
      </c>
      <c r="R2402" s="43">
        <v>22</v>
      </c>
      <c r="S2402" t="s">
        <v>3321</v>
      </c>
      <c r="T2402" s="9"/>
      <c r="U2402" s="9"/>
      <c r="V2402" s="9"/>
      <c r="W2402" s="9"/>
      <c r="X2402" s="9"/>
      <c r="AH2402" t="s">
        <v>359</v>
      </c>
    </row>
    <row r="2403" spans="1:34" ht="15.75">
      <c r="A2403" s="29">
        <f t="shared" si="37"/>
        <v>14088</v>
      </c>
      <c r="B2403" s="8">
        <v>463</v>
      </c>
      <c r="C2403" s="2">
        <v>8</v>
      </c>
      <c r="D2403" s="2">
        <v>1817</v>
      </c>
      <c r="E2403">
        <v>8967</v>
      </c>
      <c r="F2403" s="9"/>
      <c r="G2403" s="9"/>
      <c r="H2403" s="9" t="s">
        <v>1540</v>
      </c>
      <c r="I2403" s="8">
        <v>14088</v>
      </c>
      <c r="J2403" s="8">
        <v>0</v>
      </c>
      <c r="K2403" s="8" t="s">
        <v>870</v>
      </c>
      <c r="L2403" s="43" t="s">
        <v>4210</v>
      </c>
      <c r="M2403" s="43"/>
      <c r="N2403" s="43"/>
      <c r="O2403" s="43"/>
      <c r="P2403" s="43">
        <v>4</v>
      </c>
      <c r="Q2403" s="43">
        <v>3</v>
      </c>
      <c r="R2403" s="43" t="s">
        <v>868</v>
      </c>
      <c r="S2403" t="s">
        <v>3321</v>
      </c>
      <c r="T2403" s="9"/>
      <c r="U2403" s="9"/>
      <c r="V2403" s="9"/>
      <c r="W2403" s="9"/>
      <c r="X2403" s="9"/>
      <c r="AH2403" t="s">
        <v>359</v>
      </c>
    </row>
    <row r="2404" spans="1:34" ht="15.75">
      <c r="A2404" s="29">
        <f t="shared" si="37"/>
        <v>63646</v>
      </c>
      <c r="B2404" s="8">
        <v>463</v>
      </c>
      <c r="C2404" s="2">
        <v>8</v>
      </c>
      <c r="D2404" s="2">
        <v>1817</v>
      </c>
      <c r="E2404">
        <v>8968</v>
      </c>
      <c r="F2404" s="9"/>
      <c r="G2404" s="9"/>
      <c r="H2404" s="9" t="s">
        <v>1541</v>
      </c>
      <c r="I2404" s="8">
        <v>63646</v>
      </c>
      <c r="J2404" s="8">
        <v>0</v>
      </c>
      <c r="K2404" s="8" t="s">
        <v>870</v>
      </c>
      <c r="L2404" s="43" t="s">
        <v>2489</v>
      </c>
      <c r="M2404" s="43" t="s">
        <v>5848</v>
      </c>
      <c r="N2404" s="43" t="s">
        <v>1555</v>
      </c>
      <c r="O2404" s="43" t="s">
        <v>2490</v>
      </c>
      <c r="P2404" s="43">
        <v>23</v>
      </c>
      <c r="Q2404" s="43">
        <v>4</v>
      </c>
      <c r="R2404" s="43">
        <v>41</v>
      </c>
      <c r="S2404" s="9" t="s">
        <v>2491</v>
      </c>
      <c r="T2404" s="9" t="s">
        <v>2492</v>
      </c>
      <c r="V2404" s="9" t="s">
        <v>1637</v>
      </c>
      <c r="W2404" s="9"/>
      <c r="X2404" s="9"/>
      <c r="AH2404" t="s">
        <v>359</v>
      </c>
    </row>
    <row r="2405" spans="1:34" ht="15.75">
      <c r="A2405" s="29">
        <f t="shared" si="37"/>
        <v>17448</v>
      </c>
      <c r="B2405" s="8">
        <v>463</v>
      </c>
      <c r="C2405" s="2">
        <v>8</v>
      </c>
      <c r="D2405" s="2">
        <v>1817</v>
      </c>
      <c r="E2405">
        <v>8969</v>
      </c>
      <c r="F2405" s="9"/>
      <c r="G2405" s="9"/>
      <c r="H2405" s="9" t="s">
        <v>1540</v>
      </c>
      <c r="I2405" s="8">
        <v>17448</v>
      </c>
      <c r="J2405" s="8">
        <v>0</v>
      </c>
      <c r="K2405" s="8" t="s">
        <v>870</v>
      </c>
      <c r="L2405" s="43" t="s">
        <v>2493</v>
      </c>
      <c r="M2405" s="43" t="s">
        <v>2494</v>
      </c>
      <c r="N2405" s="43" t="s">
        <v>2495</v>
      </c>
      <c r="O2405" s="43" t="s">
        <v>2496</v>
      </c>
      <c r="P2405" s="43">
        <v>30</v>
      </c>
      <c r="Q2405" s="43">
        <v>6</v>
      </c>
      <c r="R2405" s="43">
        <v>51</v>
      </c>
      <c r="S2405" s="9" t="s">
        <v>2497</v>
      </c>
      <c r="T2405" s="9" t="s">
        <v>2498</v>
      </c>
      <c r="V2405" s="9" t="s">
        <v>2499</v>
      </c>
      <c r="W2405" s="9"/>
      <c r="X2405" s="9"/>
      <c r="AH2405" t="s">
        <v>359</v>
      </c>
    </row>
    <row r="2406" spans="1:34" ht="15.75">
      <c r="A2406" s="29">
        <f t="shared" si="37"/>
        <v>19901</v>
      </c>
      <c r="B2406" s="8">
        <v>464</v>
      </c>
      <c r="C2406" s="2">
        <v>8</v>
      </c>
      <c r="D2406" s="2">
        <v>1817</v>
      </c>
      <c r="E2406">
        <v>8995</v>
      </c>
      <c r="F2406" s="9"/>
      <c r="G2406" s="9"/>
      <c r="H2406" s="9" t="s">
        <v>1541</v>
      </c>
      <c r="I2406" s="8">
        <v>19901</v>
      </c>
      <c r="J2406" s="8">
        <v>0</v>
      </c>
      <c r="K2406" s="8" t="s">
        <v>870</v>
      </c>
      <c r="L2406" s="43" t="s">
        <v>2506</v>
      </c>
      <c r="M2406" s="41" t="s">
        <v>2507</v>
      </c>
      <c r="O2406" s="41" t="s">
        <v>2508</v>
      </c>
      <c r="P2406" s="41">
        <v>3</v>
      </c>
      <c r="Q2406" s="41">
        <v>4</v>
      </c>
      <c r="R2406" s="41">
        <v>34</v>
      </c>
      <c r="S2406" t="s">
        <v>2509</v>
      </c>
      <c r="T2406" t="s">
        <v>3432</v>
      </c>
      <c r="V2406" t="s">
        <v>1800</v>
      </c>
      <c r="AH2406" t="s">
        <v>359</v>
      </c>
    </row>
    <row r="2407" spans="1:34" ht="15.75">
      <c r="A2407" s="29">
        <f t="shared" si="37"/>
        <v>2183</v>
      </c>
      <c r="B2407" s="2">
        <v>464</v>
      </c>
      <c r="C2407" s="2">
        <v>8</v>
      </c>
      <c r="D2407" s="2">
        <v>1817</v>
      </c>
      <c r="E2407">
        <v>8996</v>
      </c>
      <c r="H2407" t="s">
        <v>1541</v>
      </c>
      <c r="I2407" s="2">
        <v>2183</v>
      </c>
      <c r="J2407" s="2">
        <v>0</v>
      </c>
      <c r="K2407" s="8" t="s">
        <v>870</v>
      </c>
      <c r="L2407" s="43" t="s">
        <v>2510</v>
      </c>
      <c r="P2407" s="41">
        <v>18</v>
      </c>
      <c r="Q2407" s="41">
        <v>12</v>
      </c>
      <c r="R2407" s="41">
        <v>57</v>
      </c>
      <c r="S2407" t="s">
        <v>3321</v>
      </c>
      <c r="AH2407" t="s">
        <v>359</v>
      </c>
    </row>
    <row r="2408" spans="1:34" ht="15.75">
      <c r="A2408" s="29">
        <f t="shared" si="37"/>
        <v>519</v>
      </c>
      <c r="B2408" s="2">
        <v>464</v>
      </c>
      <c r="C2408" s="2">
        <v>8</v>
      </c>
      <c r="D2408" s="2">
        <v>1817</v>
      </c>
      <c r="E2408">
        <v>8997</v>
      </c>
      <c r="H2408" t="s">
        <v>1541</v>
      </c>
      <c r="I2408" s="2">
        <v>519</v>
      </c>
      <c r="J2408" s="2">
        <v>0</v>
      </c>
      <c r="K2408" s="8" t="s">
        <v>870</v>
      </c>
      <c r="L2408" s="43" t="s">
        <v>2511</v>
      </c>
      <c r="P2408" s="41">
        <v>12</v>
      </c>
      <c r="Q2408" s="41">
        <v>11</v>
      </c>
      <c r="R2408" s="41" t="s">
        <v>868</v>
      </c>
      <c r="S2408" t="s">
        <v>5227</v>
      </c>
      <c r="AH2408" t="s">
        <v>359</v>
      </c>
    </row>
    <row r="2409" spans="1:34" ht="15.75">
      <c r="A2409" s="29">
        <f t="shared" si="37"/>
        <v>8436</v>
      </c>
      <c r="B2409" s="2">
        <v>464</v>
      </c>
      <c r="C2409" s="2">
        <v>8</v>
      </c>
      <c r="D2409" s="2">
        <v>1817</v>
      </c>
      <c r="E2409">
        <v>8999</v>
      </c>
      <c r="H2409" t="s">
        <v>1540</v>
      </c>
      <c r="I2409" s="2">
        <v>8436</v>
      </c>
      <c r="J2409" s="2">
        <v>0</v>
      </c>
      <c r="K2409" s="8" t="s">
        <v>870</v>
      </c>
      <c r="L2409" s="43" t="s">
        <v>4213</v>
      </c>
      <c r="P2409" s="41">
        <v>8</v>
      </c>
      <c r="Q2409" s="41">
        <v>12</v>
      </c>
      <c r="R2409" s="41" t="s">
        <v>868</v>
      </c>
      <c r="S2409" t="s">
        <v>3321</v>
      </c>
      <c r="AH2409" t="s">
        <v>359</v>
      </c>
    </row>
    <row r="2410" spans="1:34" ht="15.75">
      <c r="A2410" s="29">
        <f t="shared" si="37"/>
        <v>88238</v>
      </c>
      <c r="B2410" s="2">
        <v>464</v>
      </c>
      <c r="C2410" s="2">
        <v>8</v>
      </c>
      <c r="D2410" s="2">
        <v>1817</v>
      </c>
      <c r="E2410">
        <v>9000</v>
      </c>
      <c r="H2410" t="s">
        <v>1540</v>
      </c>
      <c r="I2410" s="2">
        <v>88238</v>
      </c>
      <c r="J2410" s="2">
        <v>0</v>
      </c>
      <c r="K2410" s="8" t="s">
        <v>870</v>
      </c>
      <c r="L2410" s="43" t="s">
        <v>2512</v>
      </c>
      <c r="M2410" s="41" t="s">
        <v>5316</v>
      </c>
      <c r="N2410" s="41" t="s">
        <v>1551</v>
      </c>
      <c r="O2410" s="41" t="s">
        <v>2513</v>
      </c>
      <c r="P2410" s="41">
        <v>1</v>
      </c>
      <c r="Q2410" s="41">
        <v>2</v>
      </c>
      <c r="R2410" s="41">
        <v>63</v>
      </c>
      <c r="S2410" t="s">
        <v>2514</v>
      </c>
      <c r="T2410" t="s">
        <v>2515</v>
      </c>
      <c r="V2410" t="s">
        <v>4162</v>
      </c>
      <c r="AH2410" t="s">
        <v>359</v>
      </c>
    </row>
    <row r="2411" spans="1:34" ht="15.75">
      <c r="A2411" s="29">
        <f t="shared" si="37"/>
        <v>400</v>
      </c>
      <c r="B2411" s="2">
        <v>464</v>
      </c>
      <c r="C2411" s="2">
        <v>8</v>
      </c>
      <c r="D2411" s="2">
        <v>1817</v>
      </c>
      <c r="E2411">
        <v>9001</v>
      </c>
      <c r="H2411" t="s">
        <v>1541</v>
      </c>
      <c r="I2411" s="2">
        <v>400</v>
      </c>
      <c r="J2411" s="2">
        <v>0</v>
      </c>
      <c r="K2411" s="8" t="s">
        <v>870</v>
      </c>
      <c r="L2411" s="43" t="s">
        <v>4215</v>
      </c>
      <c r="P2411" s="41">
        <v>31</v>
      </c>
      <c r="Q2411" s="41">
        <v>8</v>
      </c>
      <c r="R2411" s="41">
        <v>22</v>
      </c>
      <c r="S2411" t="s">
        <v>5227</v>
      </c>
      <c r="AH2411" t="s">
        <v>359</v>
      </c>
    </row>
    <row r="2412" spans="1:34" ht="15.75">
      <c r="A2412" s="29">
        <f t="shared" si="37"/>
        <v>174</v>
      </c>
      <c r="B2412" s="2">
        <v>464</v>
      </c>
      <c r="C2412" s="2">
        <v>8</v>
      </c>
      <c r="D2412" s="2">
        <v>1817</v>
      </c>
      <c r="E2412">
        <v>9002</v>
      </c>
      <c r="H2412" t="s">
        <v>1540</v>
      </c>
      <c r="I2412" s="2">
        <v>174</v>
      </c>
      <c r="J2412" s="2">
        <v>0</v>
      </c>
      <c r="K2412" s="8" t="s">
        <v>870</v>
      </c>
      <c r="L2412" s="43" t="s">
        <v>4219</v>
      </c>
      <c r="P2412" s="41">
        <v>11</v>
      </c>
      <c r="Q2412" s="41">
        <v>6</v>
      </c>
      <c r="R2412" s="41">
        <v>49</v>
      </c>
      <c r="S2412" t="s">
        <v>3321</v>
      </c>
      <c r="AH2412" t="s">
        <v>359</v>
      </c>
    </row>
    <row r="2413" spans="1:34" ht="15.75">
      <c r="A2413" s="29">
        <f t="shared" si="37"/>
        <v>2233</v>
      </c>
      <c r="B2413" s="2">
        <v>464</v>
      </c>
      <c r="C2413" s="2">
        <v>8</v>
      </c>
      <c r="D2413" s="2">
        <v>1817</v>
      </c>
      <c r="E2413">
        <v>9003</v>
      </c>
      <c r="H2413" t="s">
        <v>1540</v>
      </c>
      <c r="I2413" s="2">
        <v>2233</v>
      </c>
      <c r="J2413" s="2">
        <v>0</v>
      </c>
      <c r="K2413" s="8" t="s">
        <v>870</v>
      </c>
      <c r="L2413" s="43" t="s">
        <v>5226</v>
      </c>
      <c r="P2413" s="41">
        <v>22</v>
      </c>
      <c r="Q2413" s="41">
        <v>6</v>
      </c>
      <c r="R2413" s="41">
        <v>70</v>
      </c>
      <c r="S2413" t="s">
        <v>3324</v>
      </c>
      <c r="AH2413" t="s">
        <v>359</v>
      </c>
    </row>
    <row r="2414" spans="1:34" ht="15.75">
      <c r="A2414" s="29">
        <f t="shared" si="37"/>
        <v>3062</v>
      </c>
      <c r="B2414" s="2">
        <v>464</v>
      </c>
      <c r="C2414" s="2">
        <v>8</v>
      </c>
      <c r="D2414" s="2">
        <v>1817</v>
      </c>
      <c r="E2414">
        <v>9004</v>
      </c>
      <c r="H2414" t="s">
        <v>1541</v>
      </c>
      <c r="I2414" s="2">
        <v>3062</v>
      </c>
      <c r="J2414" s="2">
        <v>0</v>
      </c>
      <c r="K2414" s="8" t="s">
        <v>870</v>
      </c>
      <c r="L2414" s="43" t="s">
        <v>4807</v>
      </c>
      <c r="P2414" s="41">
        <v>25</v>
      </c>
      <c r="Q2414" s="41">
        <v>4</v>
      </c>
      <c r="R2414" s="41">
        <v>56</v>
      </c>
      <c r="S2414" t="s">
        <v>5578</v>
      </c>
      <c r="AH2414" t="s">
        <v>359</v>
      </c>
    </row>
    <row r="2415" spans="1:34" ht="15.75">
      <c r="A2415" s="29">
        <f t="shared" si="37"/>
        <v>25</v>
      </c>
      <c r="B2415" s="2">
        <v>464</v>
      </c>
      <c r="C2415" s="2">
        <v>8</v>
      </c>
      <c r="D2415" s="2">
        <v>1817</v>
      </c>
      <c r="E2415">
        <v>9005</v>
      </c>
      <c r="H2415" t="s">
        <v>1540</v>
      </c>
      <c r="I2415" s="2">
        <v>25</v>
      </c>
      <c r="J2415" s="2">
        <v>0</v>
      </c>
      <c r="K2415" s="8" t="s">
        <v>870</v>
      </c>
      <c r="L2415" s="43" t="s">
        <v>4807</v>
      </c>
      <c r="P2415" s="41">
        <v>30</v>
      </c>
      <c r="Q2415" s="41">
        <v>4</v>
      </c>
      <c r="R2415" s="41">
        <v>49</v>
      </c>
      <c r="S2415" t="s">
        <v>3321</v>
      </c>
      <c r="AH2415" t="s">
        <v>359</v>
      </c>
    </row>
    <row r="2416" spans="1:34" ht="15.75">
      <c r="A2416" s="29">
        <f t="shared" si="37"/>
        <v>30238</v>
      </c>
      <c r="B2416" s="2">
        <v>465</v>
      </c>
      <c r="C2416" s="2">
        <v>8</v>
      </c>
      <c r="D2416" s="2">
        <v>1817</v>
      </c>
      <c r="E2416">
        <v>9006</v>
      </c>
      <c r="H2416" t="s">
        <v>1541</v>
      </c>
      <c r="I2416" s="2">
        <v>30238</v>
      </c>
      <c r="J2416" s="2">
        <v>0</v>
      </c>
      <c r="K2416" s="2" t="s">
        <v>871</v>
      </c>
      <c r="L2416" s="43" t="s">
        <v>2516</v>
      </c>
      <c r="M2416" s="41" t="s">
        <v>2517</v>
      </c>
      <c r="O2416" s="41" t="s">
        <v>2518</v>
      </c>
      <c r="P2416" s="41">
        <v>5</v>
      </c>
      <c r="Q2416" s="41">
        <v>1</v>
      </c>
      <c r="R2416" s="41">
        <v>30</v>
      </c>
      <c r="S2416" t="s">
        <v>2519</v>
      </c>
      <c r="T2416" t="s">
        <v>2520</v>
      </c>
      <c r="V2416" t="s">
        <v>2521</v>
      </c>
      <c r="AH2416" t="s">
        <v>359</v>
      </c>
    </row>
    <row r="2417" spans="1:34" ht="15.75">
      <c r="A2417" s="29">
        <f t="shared" si="37"/>
        <v>4685</v>
      </c>
      <c r="B2417" s="2">
        <v>465</v>
      </c>
      <c r="C2417" s="2">
        <v>8</v>
      </c>
      <c r="D2417" s="2">
        <v>1817</v>
      </c>
      <c r="E2417">
        <v>9007</v>
      </c>
      <c r="H2417" t="s">
        <v>1540</v>
      </c>
      <c r="I2417" s="2">
        <v>4685</v>
      </c>
      <c r="J2417" s="2">
        <v>0</v>
      </c>
      <c r="K2417" s="2" t="s">
        <v>871</v>
      </c>
      <c r="L2417" s="43" t="s">
        <v>2522</v>
      </c>
      <c r="P2417" s="41">
        <v>31</v>
      </c>
      <c r="Q2417" s="41">
        <v>3</v>
      </c>
      <c r="R2417" s="41" t="s">
        <v>868</v>
      </c>
      <c r="S2417" t="s">
        <v>5227</v>
      </c>
      <c r="AH2417" t="s">
        <v>359</v>
      </c>
    </row>
    <row r="2418" spans="1:34" ht="15.75">
      <c r="A2418" s="29">
        <f t="shared" si="37"/>
        <v>8000</v>
      </c>
      <c r="B2418" s="2">
        <v>465</v>
      </c>
      <c r="C2418" s="2">
        <v>8</v>
      </c>
      <c r="D2418" s="2">
        <v>1817</v>
      </c>
      <c r="E2418">
        <v>9008</v>
      </c>
      <c r="H2418" t="s">
        <v>1541</v>
      </c>
      <c r="I2418" s="2">
        <v>8000</v>
      </c>
      <c r="J2418" s="2">
        <v>0</v>
      </c>
      <c r="K2418" s="2" t="s">
        <v>871</v>
      </c>
      <c r="L2418" s="43" t="s">
        <v>1341</v>
      </c>
      <c r="P2418" s="41">
        <v>24</v>
      </c>
      <c r="Q2418" s="41">
        <v>9</v>
      </c>
      <c r="R2418" s="41">
        <v>38</v>
      </c>
      <c r="S2418" t="s">
        <v>3321</v>
      </c>
      <c r="AH2418" t="s">
        <v>359</v>
      </c>
    </row>
    <row r="2419" spans="1:34" ht="15.75">
      <c r="A2419" s="29">
        <f t="shared" si="37"/>
        <v>25919</v>
      </c>
      <c r="B2419" s="8">
        <v>465</v>
      </c>
      <c r="C2419" s="2">
        <v>8</v>
      </c>
      <c r="D2419" s="2">
        <v>1817</v>
      </c>
      <c r="E2419">
        <v>9009</v>
      </c>
      <c r="F2419" s="9"/>
      <c r="G2419" s="9"/>
      <c r="H2419" s="9" t="s">
        <v>1541</v>
      </c>
      <c r="I2419" s="8">
        <f>18884+2314+4721</f>
        <v>25919</v>
      </c>
      <c r="J2419" s="8">
        <v>0</v>
      </c>
      <c r="K2419" s="2" t="s">
        <v>871</v>
      </c>
      <c r="L2419" s="43" t="s">
        <v>2523</v>
      </c>
      <c r="M2419" s="41" t="s">
        <v>2524</v>
      </c>
      <c r="O2419" s="41" t="s">
        <v>2525</v>
      </c>
      <c r="P2419" s="41">
        <v>8</v>
      </c>
      <c r="Q2419" s="41">
        <v>8</v>
      </c>
      <c r="S2419" s="11" t="s">
        <v>2526</v>
      </c>
      <c r="T2419" s="11" t="s">
        <v>2527</v>
      </c>
      <c r="V2419" s="11" t="s">
        <v>2528</v>
      </c>
      <c r="W2419" s="11"/>
      <c r="AH2419" t="s">
        <v>359</v>
      </c>
    </row>
    <row r="2420" spans="1:34" ht="15.75">
      <c r="A2420" s="29">
        <f t="shared" si="37"/>
        <v>949</v>
      </c>
      <c r="B2420" s="2">
        <v>465</v>
      </c>
      <c r="C2420" s="2">
        <v>8</v>
      </c>
      <c r="D2420" s="2">
        <v>1817</v>
      </c>
      <c r="E2420">
        <v>9010</v>
      </c>
      <c r="H2420" t="s">
        <v>1541</v>
      </c>
      <c r="I2420" s="2">
        <v>949</v>
      </c>
      <c r="J2420" s="2">
        <v>0</v>
      </c>
      <c r="K2420" s="2" t="s">
        <v>871</v>
      </c>
      <c r="L2420" s="43" t="s">
        <v>2529</v>
      </c>
      <c r="P2420" s="41">
        <v>29</v>
      </c>
      <c r="Q2420" s="41">
        <v>7</v>
      </c>
      <c r="R2420" s="41" t="s">
        <v>868</v>
      </c>
      <c r="S2420" t="s">
        <v>5227</v>
      </c>
      <c r="AH2420" t="s">
        <v>359</v>
      </c>
    </row>
    <row r="2421" spans="1:34" ht="15.75">
      <c r="A2421" s="29">
        <f t="shared" si="37"/>
        <v>82400</v>
      </c>
      <c r="B2421" s="2">
        <v>465</v>
      </c>
      <c r="C2421" s="2">
        <v>8</v>
      </c>
      <c r="D2421" s="2">
        <v>1817</v>
      </c>
      <c r="E2421">
        <v>9011</v>
      </c>
      <c r="H2421" t="s">
        <v>1541</v>
      </c>
      <c r="I2421" s="2">
        <v>2400</v>
      </c>
      <c r="J2421" s="2">
        <v>4000</v>
      </c>
      <c r="K2421" s="2" t="s">
        <v>871</v>
      </c>
      <c r="L2421" s="43" t="s">
        <v>2530</v>
      </c>
      <c r="M2421" s="41" t="s">
        <v>2531</v>
      </c>
      <c r="O2421" s="41" t="s">
        <v>2532</v>
      </c>
      <c r="P2421" s="41">
        <v>17</v>
      </c>
      <c r="Q2421" s="41">
        <v>6</v>
      </c>
      <c r="R2421" s="41">
        <v>62</v>
      </c>
      <c r="S2421" t="s">
        <v>2533</v>
      </c>
      <c r="T2421" t="s">
        <v>4929</v>
      </c>
      <c r="V2421" t="s">
        <v>2534</v>
      </c>
      <c r="X2421">
        <v>1</v>
      </c>
      <c r="Y2421" t="s">
        <v>2535</v>
      </c>
      <c r="AH2421" t="s">
        <v>359</v>
      </c>
    </row>
    <row r="2422" spans="1:34" ht="15.75">
      <c r="A2422" s="29">
        <f t="shared" si="37"/>
        <v>7066</v>
      </c>
      <c r="B2422" s="2">
        <v>465</v>
      </c>
      <c r="C2422" s="2">
        <v>8</v>
      </c>
      <c r="D2422" s="2">
        <v>1817</v>
      </c>
      <c r="E2422">
        <v>9012</v>
      </c>
      <c r="H2422" t="s">
        <v>1540</v>
      </c>
      <c r="I2422" s="2">
        <v>7066</v>
      </c>
      <c r="J2422" s="2">
        <v>0</v>
      </c>
      <c r="K2422" s="2" t="s">
        <v>871</v>
      </c>
      <c r="L2422" s="43" t="s">
        <v>4817</v>
      </c>
      <c r="P2422" s="41">
        <v>7</v>
      </c>
      <c r="Q2422" s="41">
        <v>8</v>
      </c>
      <c r="R2422" s="41">
        <v>63</v>
      </c>
      <c r="S2422" t="s">
        <v>3321</v>
      </c>
      <c r="AH2422" t="s">
        <v>359</v>
      </c>
    </row>
    <row r="2423" spans="1:34" ht="15.75">
      <c r="A2423" s="29">
        <f t="shared" si="37"/>
        <v>532</v>
      </c>
      <c r="B2423" s="2">
        <v>465</v>
      </c>
      <c r="C2423" s="2">
        <v>8</v>
      </c>
      <c r="D2423" s="2">
        <v>1817</v>
      </c>
      <c r="E2423">
        <v>9013</v>
      </c>
      <c r="H2423" t="s">
        <v>1541</v>
      </c>
      <c r="I2423" s="2">
        <v>532</v>
      </c>
      <c r="J2423" s="2">
        <v>0</v>
      </c>
      <c r="K2423" s="2" t="s">
        <v>871</v>
      </c>
      <c r="L2423" s="43" t="s">
        <v>2536</v>
      </c>
      <c r="P2423" s="41">
        <v>29</v>
      </c>
      <c r="Q2423" s="41">
        <v>6</v>
      </c>
      <c r="R2423" s="41">
        <v>64</v>
      </c>
      <c r="S2423" t="s">
        <v>3321</v>
      </c>
      <c r="AH2423" t="s">
        <v>359</v>
      </c>
    </row>
    <row r="2424" spans="1:34" ht="15.75">
      <c r="A2424" s="29">
        <f t="shared" si="37"/>
        <v>18800</v>
      </c>
      <c r="B2424" s="8">
        <v>465</v>
      </c>
      <c r="C2424" s="2">
        <v>8</v>
      </c>
      <c r="D2424" s="2">
        <v>1817</v>
      </c>
      <c r="E2424">
        <v>9014</v>
      </c>
      <c r="F2424" s="9"/>
      <c r="G2424" s="9"/>
      <c r="H2424" s="9" t="s">
        <v>1541</v>
      </c>
      <c r="I2424" s="8">
        <v>0</v>
      </c>
      <c r="J2424" s="8">
        <v>940</v>
      </c>
      <c r="K2424" s="2" t="s">
        <v>871</v>
      </c>
      <c r="L2424" s="43" t="s">
        <v>2537</v>
      </c>
      <c r="M2424" s="43" t="s">
        <v>2538</v>
      </c>
      <c r="N2424" s="43"/>
      <c r="O2424" s="43" t="s">
        <v>2539</v>
      </c>
      <c r="P2424" s="43">
        <v>26</v>
      </c>
      <c r="Q2424" s="43">
        <v>5</v>
      </c>
      <c r="R2424" s="43"/>
      <c r="S2424" s="12" t="s">
        <v>2540</v>
      </c>
      <c r="T2424" s="12" t="s">
        <v>2541</v>
      </c>
      <c r="V2424" s="12" t="s">
        <v>703</v>
      </c>
      <c r="W2424" s="12"/>
      <c r="X2424" s="9">
        <v>1</v>
      </c>
      <c r="Y2424" s="9" t="s">
        <v>2542</v>
      </c>
      <c r="Z2424" s="9"/>
      <c r="AA2424" s="9"/>
      <c r="AB2424" s="9"/>
      <c r="AC2424" s="9"/>
      <c r="AD2424" s="9"/>
      <c r="AE2424" s="9"/>
      <c r="AF2424" s="9"/>
      <c r="AG2424" s="9"/>
      <c r="AH2424" t="s">
        <v>359</v>
      </c>
    </row>
    <row r="2425" spans="1:34" ht="15.75">
      <c r="A2425" s="29">
        <f t="shared" si="37"/>
        <v>72553</v>
      </c>
      <c r="B2425" s="2">
        <v>465</v>
      </c>
      <c r="C2425" s="2">
        <v>8</v>
      </c>
      <c r="D2425" s="2">
        <v>1817</v>
      </c>
      <c r="E2425">
        <v>9015</v>
      </c>
      <c r="H2425" t="s">
        <v>1541</v>
      </c>
      <c r="I2425" s="2">
        <f>4953+5100</f>
        <v>10053</v>
      </c>
      <c r="J2425" s="2">
        <f>5000</f>
        <v>5000</v>
      </c>
      <c r="K2425" s="2" t="s">
        <v>871</v>
      </c>
      <c r="L2425" s="43" t="s">
        <v>2543</v>
      </c>
      <c r="M2425" s="41" t="s">
        <v>1542</v>
      </c>
      <c r="O2425" s="41" t="s">
        <v>2544</v>
      </c>
      <c r="P2425" s="41">
        <v>6</v>
      </c>
      <c r="Q2425" s="41">
        <v>7</v>
      </c>
      <c r="R2425" s="41">
        <v>73</v>
      </c>
      <c r="S2425" t="s">
        <v>2545</v>
      </c>
      <c r="T2425" t="s">
        <v>2546</v>
      </c>
      <c r="V2425" t="s">
        <v>2547</v>
      </c>
      <c r="X2425">
        <f>5/8</f>
        <v>0.625</v>
      </c>
      <c r="Y2425" t="s">
        <v>2544</v>
      </c>
      <c r="AA2425" t="s">
        <v>2548</v>
      </c>
      <c r="AH2425" t="s">
        <v>359</v>
      </c>
    </row>
    <row r="2426" spans="1:34" ht="15.75">
      <c r="A2426" s="29">
        <f t="shared" si="37"/>
        <v>781</v>
      </c>
      <c r="B2426" s="2">
        <v>465</v>
      </c>
      <c r="C2426" s="2">
        <v>8</v>
      </c>
      <c r="D2426" s="2">
        <v>1817</v>
      </c>
      <c r="E2426">
        <v>9016</v>
      </c>
      <c r="H2426" t="s">
        <v>1540</v>
      </c>
      <c r="I2426" s="2">
        <v>781</v>
      </c>
      <c r="J2426" s="2">
        <v>0</v>
      </c>
      <c r="K2426" s="2" t="s">
        <v>871</v>
      </c>
      <c r="L2426" s="43" t="s">
        <v>2549</v>
      </c>
      <c r="P2426" s="41">
        <v>3</v>
      </c>
      <c r="Q2426" s="41">
        <v>10</v>
      </c>
      <c r="R2426" s="41">
        <v>29</v>
      </c>
      <c r="S2426" t="s">
        <v>3321</v>
      </c>
      <c r="AH2426" t="s">
        <v>359</v>
      </c>
    </row>
    <row r="2427" spans="1:34" ht="15.75">
      <c r="A2427" s="29">
        <f t="shared" si="37"/>
        <v>2812</v>
      </c>
      <c r="B2427" s="2">
        <v>465</v>
      </c>
      <c r="C2427" s="2">
        <v>8</v>
      </c>
      <c r="D2427" s="2">
        <v>1817</v>
      </c>
      <c r="E2427">
        <v>9017</v>
      </c>
      <c r="H2427" t="s">
        <v>1540</v>
      </c>
      <c r="I2427" s="2">
        <f>2212+600</f>
        <v>2812</v>
      </c>
      <c r="J2427" s="2">
        <v>0</v>
      </c>
      <c r="K2427" s="2" t="s">
        <v>871</v>
      </c>
      <c r="L2427" s="43" t="s">
        <v>4796</v>
      </c>
      <c r="P2427" s="41">
        <v>27</v>
      </c>
      <c r="Q2427" s="41">
        <v>6</v>
      </c>
      <c r="R2427" s="41">
        <v>73</v>
      </c>
      <c r="S2427" t="s">
        <v>3321</v>
      </c>
      <c r="AH2427" t="s">
        <v>359</v>
      </c>
    </row>
    <row r="2428" spans="1:34" ht="15.75">
      <c r="A2428" s="29">
        <f t="shared" si="37"/>
        <v>127</v>
      </c>
      <c r="B2428" s="2">
        <v>466</v>
      </c>
      <c r="C2428" s="2">
        <v>8</v>
      </c>
      <c r="D2428" s="2">
        <v>1817</v>
      </c>
      <c r="E2428">
        <v>9047</v>
      </c>
      <c r="H2428" t="s">
        <v>1541</v>
      </c>
      <c r="I2428" s="2">
        <v>127</v>
      </c>
      <c r="J2428" s="2">
        <v>0</v>
      </c>
      <c r="K2428" s="2" t="s">
        <v>871</v>
      </c>
      <c r="L2428" s="43" t="s">
        <v>4799</v>
      </c>
      <c r="P2428" s="41">
        <v>6</v>
      </c>
      <c r="Q2428" s="41">
        <v>4</v>
      </c>
      <c r="R2428" s="41">
        <v>72</v>
      </c>
      <c r="S2428" t="s">
        <v>3329</v>
      </c>
      <c r="AH2428" t="s">
        <v>359</v>
      </c>
    </row>
    <row r="2429" spans="1:34" ht="15.75">
      <c r="A2429" s="29">
        <f t="shared" si="37"/>
        <v>3932</v>
      </c>
      <c r="B2429" s="2">
        <v>466</v>
      </c>
      <c r="C2429" s="2">
        <v>8</v>
      </c>
      <c r="D2429" s="2">
        <v>1817</v>
      </c>
      <c r="E2429">
        <v>9048</v>
      </c>
      <c r="H2429" t="s">
        <v>1541</v>
      </c>
      <c r="I2429" s="2">
        <v>3932</v>
      </c>
      <c r="J2429" s="2">
        <v>0</v>
      </c>
      <c r="K2429" s="2" t="s">
        <v>871</v>
      </c>
      <c r="L2429" s="43" t="s">
        <v>4800</v>
      </c>
      <c r="P2429" s="41">
        <v>22</v>
      </c>
      <c r="Q2429" s="41">
        <v>3</v>
      </c>
      <c r="R2429" s="41">
        <v>73</v>
      </c>
      <c r="S2429" t="s">
        <v>5227</v>
      </c>
      <c r="AH2429" t="s">
        <v>359</v>
      </c>
    </row>
    <row r="2430" spans="1:34" ht="15.75">
      <c r="A2430" s="29">
        <f t="shared" si="37"/>
        <v>600</v>
      </c>
      <c r="B2430" s="2">
        <v>466</v>
      </c>
      <c r="C2430" s="2">
        <v>8</v>
      </c>
      <c r="D2430" s="2">
        <v>1817</v>
      </c>
      <c r="E2430">
        <v>9049</v>
      </c>
      <c r="H2430" t="s">
        <v>1549</v>
      </c>
      <c r="I2430" s="2">
        <v>600</v>
      </c>
      <c r="J2430" s="2">
        <v>0</v>
      </c>
      <c r="K2430" s="2" t="s">
        <v>871</v>
      </c>
      <c r="L2430" s="43" t="s">
        <v>1344</v>
      </c>
      <c r="P2430" s="41">
        <v>31</v>
      </c>
      <c r="Q2430" s="41">
        <v>10</v>
      </c>
      <c r="R2430" s="41">
        <v>72</v>
      </c>
      <c r="S2430" t="s">
        <v>3321</v>
      </c>
      <c r="AH2430" t="s">
        <v>359</v>
      </c>
    </row>
    <row r="2431" spans="1:34" ht="15.75">
      <c r="A2431" s="29">
        <f t="shared" si="37"/>
        <v>109</v>
      </c>
      <c r="B2431" s="2">
        <v>466</v>
      </c>
      <c r="C2431" s="2">
        <v>8</v>
      </c>
      <c r="D2431" s="2">
        <v>1817</v>
      </c>
      <c r="E2431">
        <v>9050</v>
      </c>
      <c r="H2431" t="s">
        <v>1541</v>
      </c>
      <c r="I2431" s="2">
        <v>109</v>
      </c>
      <c r="J2431" s="2">
        <v>0</v>
      </c>
      <c r="K2431" s="2" t="s">
        <v>871</v>
      </c>
      <c r="L2431" s="43" t="s">
        <v>5201</v>
      </c>
      <c r="P2431" s="41">
        <v>15</v>
      </c>
      <c r="Q2431" s="41">
        <v>3</v>
      </c>
      <c r="R2431" s="41" t="s">
        <v>868</v>
      </c>
      <c r="S2431" t="s">
        <v>884</v>
      </c>
      <c r="AH2431" t="s">
        <v>359</v>
      </c>
    </row>
    <row r="2432" spans="1:34" ht="15.75">
      <c r="A2432" s="29">
        <f t="shared" si="37"/>
        <v>424773</v>
      </c>
      <c r="B2432" s="2">
        <v>466</v>
      </c>
      <c r="C2432" s="2">
        <v>8</v>
      </c>
      <c r="D2432" s="2">
        <v>1817</v>
      </c>
      <c r="E2432">
        <v>9051</v>
      </c>
      <c r="H2432" t="s">
        <v>1540</v>
      </c>
      <c r="I2432" s="2">
        <v>174773</v>
      </c>
      <c r="J2432" s="2">
        <v>12500</v>
      </c>
      <c r="K2432" s="2" t="s">
        <v>871</v>
      </c>
      <c r="L2432" s="43" t="s">
        <v>2783</v>
      </c>
      <c r="M2432" s="41" t="s">
        <v>2550</v>
      </c>
      <c r="N2432" s="41" t="s">
        <v>2551</v>
      </c>
      <c r="O2432" s="41" t="s">
        <v>2552</v>
      </c>
      <c r="P2432" s="41">
        <v>3</v>
      </c>
      <c r="Q2432" s="41">
        <v>3</v>
      </c>
      <c r="R2432" s="41">
        <v>82</v>
      </c>
      <c r="S2432" t="s">
        <v>2553</v>
      </c>
      <c r="T2432" t="s">
        <v>4646</v>
      </c>
      <c r="V2432" t="s">
        <v>4497</v>
      </c>
      <c r="X2432">
        <v>1</v>
      </c>
      <c r="Y2432" t="s">
        <v>2554</v>
      </c>
      <c r="AH2432" t="s">
        <v>359</v>
      </c>
    </row>
    <row r="2433" spans="1:34" ht="15.75">
      <c r="A2433" s="29">
        <f t="shared" si="37"/>
        <v>86328</v>
      </c>
      <c r="B2433" s="2">
        <v>466</v>
      </c>
      <c r="C2433" s="2">
        <v>8</v>
      </c>
      <c r="D2433" s="2">
        <v>1817</v>
      </c>
      <c r="E2433">
        <v>9052</v>
      </c>
      <c r="H2433" t="s">
        <v>1541</v>
      </c>
      <c r="I2433" s="2">
        <v>86328</v>
      </c>
      <c r="J2433" s="2">
        <v>0</v>
      </c>
      <c r="K2433" s="2" t="s">
        <v>871</v>
      </c>
      <c r="L2433" s="43" t="s">
        <v>5228</v>
      </c>
      <c r="M2433" s="41" t="s">
        <v>2555</v>
      </c>
      <c r="N2433" s="41" t="s">
        <v>1551</v>
      </c>
      <c r="O2433" s="41" t="s">
        <v>2556</v>
      </c>
      <c r="P2433" s="41">
        <v>18</v>
      </c>
      <c r="Q2433" s="41">
        <v>8</v>
      </c>
      <c r="R2433" s="41">
        <v>59</v>
      </c>
      <c r="S2433" t="s">
        <v>2557</v>
      </c>
      <c r="T2433" t="s">
        <v>4649</v>
      </c>
      <c r="V2433" t="s">
        <v>4876</v>
      </c>
      <c r="AH2433" t="s">
        <v>359</v>
      </c>
    </row>
    <row r="2434" spans="1:34" ht="15.75">
      <c r="A2434" s="29">
        <f aca="true" t="shared" si="38" ref="A2434:A2497">I2434+J2434*20*X2434</f>
        <v>191</v>
      </c>
      <c r="B2434" s="2">
        <v>466</v>
      </c>
      <c r="C2434" s="2">
        <v>8</v>
      </c>
      <c r="D2434" s="2">
        <v>1817</v>
      </c>
      <c r="E2434">
        <v>9053</v>
      </c>
      <c r="H2434" t="s">
        <v>1540</v>
      </c>
      <c r="I2434" s="2">
        <v>191</v>
      </c>
      <c r="J2434" s="2">
        <v>0</v>
      </c>
      <c r="K2434" s="2" t="s">
        <v>871</v>
      </c>
      <c r="L2434" s="43" t="s">
        <v>2558</v>
      </c>
      <c r="P2434" s="41">
        <v>2</v>
      </c>
      <c r="Q2434" s="41">
        <v>2</v>
      </c>
      <c r="R2434" s="41">
        <v>52</v>
      </c>
      <c r="S2434" t="s">
        <v>3321</v>
      </c>
      <c r="AH2434" t="s">
        <v>359</v>
      </c>
    </row>
    <row r="2435" spans="1:34" ht="15.75">
      <c r="A2435" s="29">
        <f t="shared" si="38"/>
        <v>34</v>
      </c>
      <c r="B2435" s="2">
        <v>466</v>
      </c>
      <c r="C2435" s="2">
        <v>8</v>
      </c>
      <c r="D2435" s="2">
        <v>1817</v>
      </c>
      <c r="E2435">
        <v>9055</v>
      </c>
      <c r="H2435" t="s">
        <v>1540</v>
      </c>
      <c r="I2435" s="2">
        <v>34</v>
      </c>
      <c r="J2435" s="2">
        <v>0</v>
      </c>
      <c r="K2435" s="2" t="s">
        <v>871</v>
      </c>
      <c r="L2435" s="43" t="s">
        <v>1348</v>
      </c>
      <c r="P2435" s="41">
        <v>18</v>
      </c>
      <c r="Q2435" s="41">
        <v>4</v>
      </c>
      <c r="R2435" s="41">
        <v>52</v>
      </c>
      <c r="S2435" t="s">
        <v>5227</v>
      </c>
      <c r="AH2435" t="s">
        <v>359</v>
      </c>
    </row>
    <row r="2436" spans="1:34" ht="15.75">
      <c r="A2436" s="29">
        <f t="shared" si="38"/>
        <v>29831</v>
      </c>
      <c r="B2436" s="8">
        <v>467</v>
      </c>
      <c r="C2436" s="2">
        <v>8</v>
      </c>
      <c r="D2436" s="2">
        <v>1817</v>
      </c>
      <c r="E2436">
        <v>9070</v>
      </c>
      <c r="F2436" s="9"/>
      <c r="G2436" s="9"/>
      <c r="H2436" s="9" t="s">
        <v>1540</v>
      </c>
      <c r="I2436" s="8">
        <v>29831</v>
      </c>
      <c r="J2436" s="8">
        <v>0</v>
      </c>
      <c r="K2436" s="8" t="s">
        <v>872</v>
      </c>
      <c r="L2436" s="43" t="s">
        <v>2561</v>
      </c>
      <c r="M2436" s="43" t="s">
        <v>3706</v>
      </c>
      <c r="N2436" s="43" t="s">
        <v>2562</v>
      </c>
      <c r="O2436" s="43" t="s">
        <v>2563</v>
      </c>
      <c r="P2436" s="43">
        <v>27</v>
      </c>
      <c r="Q2436" s="43">
        <v>4</v>
      </c>
      <c r="R2436" s="43">
        <v>76</v>
      </c>
      <c r="S2436" s="9" t="s">
        <v>847</v>
      </c>
      <c r="T2436" s="9" t="s">
        <v>2564</v>
      </c>
      <c r="V2436" s="9" t="s">
        <v>1766</v>
      </c>
      <c r="W2436" s="9"/>
      <c r="AH2436" t="s">
        <v>359</v>
      </c>
    </row>
    <row r="2437" spans="1:34" ht="15.75">
      <c r="A2437" s="29">
        <f t="shared" si="38"/>
        <v>122</v>
      </c>
      <c r="B2437" s="2">
        <v>467</v>
      </c>
      <c r="C2437" s="2">
        <v>8</v>
      </c>
      <c r="D2437" s="2">
        <v>1817</v>
      </c>
      <c r="E2437">
        <v>9071</v>
      </c>
      <c r="H2437" t="s">
        <v>1541</v>
      </c>
      <c r="I2437" s="2">
        <v>122</v>
      </c>
      <c r="J2437" s="2">
        <v>0</v>
      </c>
      <c r="K2437" s="8" t="s">
        <v>872</v>
      </c>
      <c r="L2437" s="43" t="s">
        <v>2565</v>
      </c>
      <c r="P2437" s="41">
        <v>17</v>
      </c>
      <c r="Q2437" s="41">
        <v>2</v>
      </c>
      <c r="R2437" s="41">
        <v>47</v>
      </c>
      <c r="S2437" t="s">
        <v>3321</v>
      </c>
      <c r="AH2437" t="s">
        <v>359</v>
      </c>
    </row>
    <row r="2438" spans="1:34" ht="15.75">
      <c r="A2438" s="29">
        <f t="shared" si="38"/>
        <v>90</v>
      </c>
      <c r="B2438" s="2">
        <v>467</v>
      </c>
      <c r="C2438" s="2">
        <v>8</v>
      </c>
      <c r="D2438" s="2">
        <v>1817</v>
      </c>
      <c r="E2438">
        <v>9072</v>
      </c>
      <c r="H2438" t="s">
        <v>1541</v>
      </c>
      <c r="I2438" s="2">
        <v>90</v>
      </c>
      <c r="J2438" s="2">
        <v>0</v>
      </c>
      <c r="K2438" s="8" t="s">
        <v>872</v>
      </c>
      <c r="L2438" s="43" t="s">
        <v>4828</v>
      </c>
      <c r="P2438" s="41">
        <v>12</v>
      </c>
      <c r="Q2438" s="41">
        <v>9</v>
      </c>
      <c r="R2438" s="41">
        <v>46</v>
      </c>
      <c r="S2438" t="s">
        <v>3329</v>
      </c>
      <c r="AH2438" t="s">
        <v>359</v>
      </c>
    </row>
    <row r="2439" spans="1:34" ht="15.75">
      <c r="A2439" s="29">
        <f t="shared" si="38"/>
        <v>6227</v>
      </c>
      <c r="B2439" s="2">
        <v>467</v>
      </c>
      <c r="C2439" s="2">
        <v>8</v>
      </c>
      <c r="D2439" s="2">
        <v>1817</v>
      </c>
      <c r="E2439">
        <v>9073</v>
      </c>
      <c r="H2439" t="s">
        <v>1540</v>
      </c>
      <c r="I2439" s="2">
        <v>6227</v>
      </c>
      <c r="J2439" s="2">
        <v>0</v>
      </c>
      <c r="K2439" s="8" t="s">
        <v>872</v>
      </c>
      <c r="L2439" s="43" t="s">
        <v>4828</v>
      </c>
      <c r="P2439" s="41">
        <v>7</v>
      </c>
      <c r="Q2439" s="41">
        <v>6</v>
      </c>
      <c r="R2439" s="41">
        <v>41</v>
      </c>
      <c r="S2439" t="s">
        <v>5227</v>
      </c>
      <c r="AH2439" t="s">
        <v>359</v>
      </c>
    </row>
    <row r="2440" spans="1:34" ht="15.75">
      <c r="A2440" s="29">
        <f t="shared" si="38"/>
        <v>4900</v>
      </c>
      <c r="B2440" s="2">
        <v>467</v>
      </c>
      <c r="C2440" s="2">
        <v>8</v>
      </c>
      <c r="D2440" s="2">
        <v>1817</v>
      </c>
      <c r="E2440">
        <v>9074</v>
      </c>
      <c r="H2440" t="s">
        <v>1541</v>
      </c>
      <c r="I2440" s="2">
        <v>4900</v>
      </c>
      <c r="J2440" s="2">
        <v>0</v>
      </c>
      <c r="K2440" s="8" t="s">
        <v>872</v>
      </c>
      <c r="L2440" s="43" t="s">
        <v>4828</v>
      </c>
      <c r="P2440" s="41">
        <v>25</v>
      </c>
      <c r="Q2440" s="41">
        <v>8</v>
      </c>
      <c r="R2440" s="41">
        <v>51</v>
      </c>
      <c r="S2440" t="s">
        <v>884</v>
      </c>
      <c r="AH2440" t="s">
        <v>359</v>
      </c>
    </row>
    <row r="2441" spans="1:34" ht="15.75">
      <c r="A2441" s="29">
        <f t="shared" si="38"/>
        <v>1668</v>
      </c>
      <c r="B2441" s="2">
        <v>467</v>
      </c>
      <c r="C2441" s="2">
        <v>8</v>
      </c>
      <c r="D2441" s="2">
        <v>1817</v>
      </c>
      <c r="E2441">
        <v>9075</v>
      </c>
      <c r="H2441" t="s">
        <v>1540</v>
      </c>
      <c r="I2441" s="2">
        <v>1668</v>
      </c>
      <c r="J2441" s="2">
        <v>0</v>
      </c>
      <c r="K2441" s="8" t="s">
        <v>872</v>
      </c>
      <c r="L2441" s="43" t="s">
        <v>4829</v>
      </c>
      <c r="P2441" s="41">
        <v>27</v>
      </c>
      <c r="Q2441" s="41">
        <v>3</v>
      </c>
      <c r="R2441" s="41" t="s">
        <v>868</v>
      </c>
      <c r="S2441" t="s">
        <v>4325</v>
      </c>
      <c r="AH2441" t="s">
        <v>359</v>
      </c>
    </row>
    <row r="2442" spans="1:34" ht="15.75">
      <c r="A2442" s="29">
        <f t="shared" si="38"/>
        <v>1756</v>
      </c>
      <c r="B2442" s="2">
        <v>467</v>
      </c>
      <c r="C2442" s="2">
        <v>8</v>
      </c>
      <c r="D2442" s="2">
        <v>1817</v>
      </c>
      <c r="E2442">
        <v>9076</v>
      </c>
      <c r="H2442" t="s">
        <v>1540</v>
      </c>
      <c r="I2442" s="2">
        <f>1066+690</f>
        <v>1756</v>
      </c>
      <c r="J2442" s="2">
        <v>0</v>
      </c>
      <c r="K2442" s="8" t="s">
        <v>872</v>
      </c>
      <c r="L2442" s="43" t="s">
        <v>4829</v>
      </c>
      <c r="P2442" s="41">
        <v>2</v>
      </c>
      <c r="Q2442" s="41">
        <v>7</v>
      </c>
      <c r="R2442" s="41">
        <v>63</v>
      </c>
      <c r="S2442" t="s">
        <v>3321</v>
      </c>
      <c r="AH2442" t="s">
        <v>359</v>
      </c>
    </row>
    <row r="2443" spans="1:34" ht="15.75">
      <c r="A2443" s="29">
        <f t="shared" si="38"/>
        <v>145</v>
      </c>
      <c r="B2443" s="2">
        <v>467</v>
      </c>
      <c r="C2443" s="2">
        <v>8</v>
      </c>
      <c r="D2443" s="2">
        <v>1817</v>
      </c>
      <c r="E2443">
        <v>9077</v>
      </c>
      <c r="H2443" t="s">
        <v>1541</v>
      </c>
      <c r="I2443" s="2">
        <v>145</v>
      </c>
      <c r="J2443" s="2">
        <v>0</v>
      </c>
      <c r="K2443" s="8" t="s">
        <v>872</v>
      </c>
      <c r="L2443" s="43" t="s">
        <v>4830</v>
      </c>
      <c r="P2443" s="41">
        <v>21</v>
      </c>
      <c r="Q2443" s="41">
        <v>1</v>
      </c>
      <c r="R2443" s="41">
        <v>69</v>
      </c>
      <c r="S2443" t="s">
        <v>3329</v>
      </c>
      <c r="AH2443" t="s">
        <v>359</v>
      </c>
    </row>
    <row r="2444" spans="1:34" ht="15.75">
      <c r="A2444" s="29">
        <f t="shared" si="38"/>
        <v>2680</v>
      </c>
      <c r="B2444" s="2">
        <v>467</v>
      </c>
      <c r="C2444" s="2">
        <v>8</v>
      </c>
      <c r="D2444" s="2">
        <v>1817</v>
      </c>
      <c r="E2444">
        <v>9078</v>
      </c>
      <c r="H2444" t="s">
        <v>1541</v>
      </c>
      <c r="I2444" s="2">
        <v>2680</v>
      </c>
      <c r="J2444" s="2">
        <v>0</v>
      </c>
      <c r="K2444" s="8" t="s">
        <v>872</v>
      </c>
      <c r="L2444" s="43" t="s">
        <v>4830</v>
      </c>
      <c r="P2444" s="41">
        <v>6</v>
      </c>
      <c r="Q2444" s="41">
        <v>4</v>
      </c>
      <c r="R2444" s="41">
        <v>58</v>
      </c>
      <c r="S2444" t="s">
        <v>3329</v>
      </c>
      <c r="AH2444" t="s">
        <v>359</v>
      </c>
    </row>
    <row r="2445" spans="1:34" ht="15.75">
      <c r="A2445" s="29">
        <f t="shared" si="38"/>
        <v>5527</v>
      </c>
      <c r="B2445" s="2">
        <v>467</v>
      </c>
      <c r="C2445" s="2">
        <v>8</v>
      </c>
      <c r="D2445" s="2">
        <v>1817</v>
      </c>
      <c r="E2445">
        <v>9079</v>
      </c>
      <c r="H2445" t="s">
        <v>1549</v>
      </c>
      <c r="I2445" s="2">
        <v>5527</v>
      </c>
      <c r="J2445" s="2">
        <v>0</v>
      </c>
      <c r="K2445" s="8" t="s">
        <v>872</v>
      </c>
      <c r="L2445" s="43" t="s">
        <v>4830</v>
      </c>
      <c r="P2445" s="41">
        <v>6</v>
      </c>
      <c r="Q2445" s="41">
        <v>12</v>
      </c>
      <c r="R2445" s="41">
        <v>77</v>
      </c>
      <c r="S2445" t="s">
        <v>3321</v>
      </c>
      <c r="AH2445" t="s">
        <v>359</v>
      </c>
    </row>
    <row r="2446" spans="1:34" ht="15.75">
      <c r="A2446" s="29">
        <f t="shared" si="38"/>
        <v>470</v>
      </c>
      <c r="B2446" s="2">
        <v>467</v>
      </c>
      <c r="C2446" s="2">
        <v>8</v>
      </c>
      <c r="D2446" s="2">
        <v>1817</v>
      </c>
      <c r="E2446">
        <v>9080</v>
      </c>
      <c r="H2446" t="s">
        <v>1540</v>
      </c>
      <c r="I2446" s="2">
        <v>470</v>
      </c>
      <c r="J2446" s="2">
        <v>0</v>
      </c>
      <c r="K2446" s="8" t="s">
        <v>872</v>
      </c>
      <c r="L2446" s="43" t="s">
        <v>2566</v>
      </c>
      <c r="P2446" s="41">
        <v>12</v>
      </c>
      <c r="Q2446" s="41">
        <v>10</v>
      </c>
      <c r="R2446" s="41" t="s">
        <v>868</v>
      </c>
      <c r="S2446" t="s">
        <v>3321</v>
      </c>
      <c r="AH2446" t="s">
        <v>359</v>
      </c>
    </row>
    <row r="2447" spans="1:34" ht="15.75">
      <c r="A2447" s="29">
        <f t="shared" si="38"/>
        <v>15000</v>
      </c>
      <c r="B2447" s="2">
        <v>467</v>
      </c>
      <c r="C2447" s="2">
        <v>8</v>
      </c>
      <c r="D2447" s="2">
        <v>1817</v>
      </c>
      <c r="E2447">
        <v>9081</v>
      </c>
      <c r="H2447" t="s">
        <v>1541</v>
      </c>
      <c r="I2447" s="2">
        <v>15000</v>
      </c>
      <c r="J2447" s="2">
        <v>0</v>
      </c>
      <c r="K2447" s="8" t="s">
        <v>872</v>
      </c>
      <c r="L2447" s="43" t="s">
        <v>2566</v>
      </c>
      <c r="P2447" s="41">
        <v>16</v>
      </c>
      <c r="Q2447" s="41">
        <v>1</v>
      </c>
      <c r="R2447" s="41">
        <v>44</v>
      </c>
      <c r="S2447" t="s">
        <v>3329</v>
      </c>
      <c r="AH2447" t="s">
        <v>359</v>
      </c>
    </row>
    <row r="2448" spans="1:34" ht="15.75">
      <c r="A2448" s="29">
        <f t="shared" si="38"/>
        <v>7000</v>
      </c>
      <c r="B2448" s="2">
        <v>467</v>
      </c>
      <c r="C2448" s="2">
        <v>8</v>
      </c>
      <c r="D2448" s="2">
        <v>1817</v>
      </c>
      <c r="E2448">
        <v>9082</v>
      </c>
      <c r="H2448" t="s">
        <v>1541</v>
      </c>
      <c r="I2448" s="2">
        <v>7000</v>
      </c>
      <c r="J2448" s="2">
        <v>0</v>
      </c>
      <c r="K2448" s="8" t="s">
        <v>872</v>
      </c>
      <c r="L2448" s="43" t="s">
        <v>4831</v>
      </c>
      <c r="P2448" s="41">
        <v>3</v>
      </c>
      <c r="Q2448" s="41">
        <v>12</v>
      </c>
      <c r="R2448" s="41">
        <v>37</v>
      </c>
      <c r="S2448" t="s">
        <v>3321</v>
      </c>
      <c r="AH2448" t="s">
        <v>359</v>
      </c>
    </row>
    <row r="2449" spans="1:34" ht="15.75">
      <c r="A2449" s="29">
        <f t="shared" si="38"/>
        <v>75</v>
      </c>
      <c r="B2449" s="2">
        <v>467</v>
      </c>
      <c r="C2449" s="2">
        <v>8</v>
      </c>
      <c r="D2449" s="2">
        <v>1817</v>
      </c>
      <c r="E2449">
        <v>9083</v>
      </c>
      <c r="H2449" t="s">
        <v>1540</v>
      </c>
      <c r="I2449" s="2">
        <v>75</v>
      </c>
      <c r="J2449" s="2">
        <v>0</v>
      </c>
      <c r="K2449" s="8" t="s">
        <v>872</v>
      </c>
      <c r="L2449" s="43" t="s">
        <v>4832</v>
      </c>
      <c r="P2449" s="41">
        <v>7</v>
      </c>
      <c r="Q2449" s="41">
        <v>11</v>
      </c>
      <c r="R2449" s="41">
        <v>63</v>
      </c>
      <c r="S2449" t="s">
        <v>3321</v>
      </c>
      <c r="AH2449" t="s">
        <v>359</v>
      </c>
    </row>
    <row r="2450" spans="1:34" ht="15.75">
      <c r="A2450" s="29">
        <f t="shared" si="38"/>
        <v>4000</v>
      </c>
      <c r="B2450" s="2">
        <v>467</v>
      </c>
      <c r="C2450" s="2">
        <v>8</v>
      </c>
      <c r="D2450" s="2">
        <v>1817</v>
      </c>
      <c r="E2450">
        <v>9084</v>
      </c>
      <c r="H2450" t="s">
        <v>1540</v>
      </c>
      <c r="I2450" s="2">
        <v>4000</v>
      </c>
      <c r="J2450" s="2">
        <v>0</v>
      </c>
      <c r="K2450" s="8" t="s">
        <v>872</v>
      </c>
      <c r="L2450" s="43" t="s">
        <v>1350</v>
      </c>
      <c r="P2450" s="41">
        <v>12</v>
      </c>
      <c r="Q2450" s="41">
        <v>7</v>
      </c>
      <c r="R2450" s="41">
        <v>63</v>
      </c>
      <c r="S2450" t="s">
        <v>3321</v>
      </c>
      <c r="AH2450" t="s">
        <v>359</v>
      </c>
    </row>
    <row r="2451" spans="1:34" ht="15.75">
      <c r="A2451" s="29">
        <f t="shared" si="38"/>
        <v>260</v>
      </c>
      <c r="B2451" s="2">
        <v>467</v>
      </c>
      <c r="C2451" s="2">
        <v>8</v>
      </c>
      <c r="D2451" s="2">
        <v>1817</v>
      </c>
      <c r="E2451">
        <v>9085</v>
      </c>
      <c r="H2451" t="s">
        <v>1541</v>
      </c>
      <c r="I2451" s="2">
        <v>260</v>
      </c>
      <c r="J2451" s="2">
        <v>0</v>
      </c>
      <c r="K2451" s="8" t="s">
        <v>872</v>
      </c>
      <c r="L2451" s="43" t="s">
        <v>1350</v>
      </c>
      <c r="P2451" s="41">
        <v>12</v>
      </c>
      <c r="Q2451" s="41">
        <v>11</v>
      </c>
      <c r="R2451" s="41">
        <v>40</v>
      </c>
      <c r="S2451" t="s">
        <v>3321</v>
      </c>
      <c r="AH2451" t="s">
        <v>359</v>
      </c>
    </row>
    <row r="2452" spans="1:34" ht="15.75">
      <c r="A2452" s="29">
        <f t="shared" si="38"/>
        <v>607</v>
      </c>
      <c r="B2452" s="2">
        <v>467</v>
      </c>
      <c r="C2452" s="2">
        <v>8</v>
      </c>
      <c r="D2452" s="2">
        <v>1817</v>
      </c>
      <c r="E2452">
        <v>9086</v>
      </c>
      <c r="H2452" t="s">
        <v>1541</v>
      </c>
      <c r="I2452" s="2">
        <v>607</v>
      </c>
      <c r="J2452" s="2">
        <v>0</v>
      </c>
      <c r="K2452" s="8" t="s">
        <v>872</v>
      </c>
      <c r="L2452" s="43" t="s">
        <v>4835</v>
      </c>
      <c r="P2452" s="41">
        <v>5</v>
      </c>
      <c r="Q2452" s="41">
        <v>2</v>
      </c>
      <c r="R2452" s="41">
        <v>44</v>
      </c>
      <c r="S2452" t="s">
        <v>3321</v>
      </c>
      <c r="AH2452" t="s">
        <v>359</v>
      </c>
    </row>
    <row r="2453" spans="1:34" ht="15.75">
      <c r="A2453" s="29">
        <f t="shared" si="38"/>
        <v>503</v>
      </c>
      <c r="B2453" s="2">
        <v>467</v>
      </c>
      <c r="C2453" s="2">
        <v>8</v>
      </c>
      <c r="D2453" s="2">
        <v>1817</v>
      </c>
      <c r="E2453">
        <v>9087</v>
      </c>
      <c r="H2453" t="s">
        <v>1541</v>
      </c>
      <c r="I2453" s="2">
        <v>503</v>
      </c>
      <c r="J2453" s="2">
        <v>0</v>
      </c>
      <c r="K2453" s="8" t="s">
        <v>872</v>
      </c>
      <c r="L2453" s="43" t="s">
        <v>4836</v>
      </c>
      <c r="P2453" s="41">
        <v>19</v>
      </c>
      <c r="Q2453" s="41">
        <v>10</v>
      </c>
      <c r="R2453" s="41">
        <v>32</v>
      </c>
      <c r="S2453" t="s">
        <v>3329</v>
      </c>
      <c r="AH2453" t="s">
        <v>359</v>
      </c>
    </row>
    <row r="2454" spans="1:34" ht="15.75">
      <c r="A2454" s="29">
        <f t="shared" si="38"/>
        <v>43314</v>
      </c>
      <c r="B2454" s="2">
        <v>467</v>
      </c>
      <c r="C2454" s="2">
        <v>8</v>
      </c>
      <c r="D2454" s="2">
        <v>1817</v>
      </c>
      <c r="E2454">
        <v>9088</v>
      </c>
      <c r="H2454" t="s">
        <v>1540</v>
      </c>
      <c r="I2454" s="2">
        <v>43314</v>
      </c>
      <c r="J2454" s="2">
        <v>0</v>
      </c>
      <c r="K2454" s="8" t="s">
        <v>872</v>
      </c>
      <c r="L2454" s="43" t="s">
        <v>2567</v>
      </c>
      <c r="M2454" s="41" t="s">
        <v>2568</v>
      </c>
      <c r="N2454" s="41" t="s">
        <v>2569</v>
      </c>
      <c r="O2454" s="41" t="s">
        <v>2570</v>
      </c>
      <c r="P2454" s="41">
        <v>2</v>
      </c>
      <c r="Q2454" s="41">
        <v>2</v>
      </c>
      <c r="R2454" s="41">
        <v>67</v>
      </c>
      <c r="S2454" t="s">
        <v>3343</v>
      </c>
      <c r="T2454" t="s">
        <v>2571</v>
      </c>
      <c r="V2454" t="s">
        <v>4648</v>
      </c>
      <c r="AH2454" t="s">
        <v>359</v>
      </c>
    </row>
    <row r="2455" spans="1:34" ht="15.75">
      <c r="A2455" s="29">
        <f t="shared" si="38"/>
        <v>1192</v>
      </c>
      <c r="B2455" s="2">
        <v>467</v>
      </c>
      <c r="C2455" s="2">
        <v>8</v>
      </c>
      <c r="D2455" s="2">
        <v>1817</v>
      </c>
      <c r="E2455">
        <v>9089</v>
      </c>
      <c r="H2455" t="s">
        <v>1541</v>
      </c>
      <c r="I2455" s="2">
        <v>1192</v>
      </c>
      <c r="J2455" s="2">
        <v>0</v>
      </c>
      <c r="K2455" s="8" t="s">
        <v>872</v>
      </c>
      <c r="L2455" s="43" t="s">
        <v>4840</v>
      </c>
      <c r="P2455" s="41">
        <v>5</v>
      </c>
      <c r="Q2455" s="41">
        <v>3</v>
      </c>
      <c r="R2455" s="41">
        <v>65</v>
      </c>
      <c r="S2455" t="s">
        <v>3321</v>
      </c>
      <c r="AH2455" t="s">
        <v>359</v>
      </c>
    </row>
    <row r="2456" spans="1:34" ht="15.75">
      <c r="A2456" s="29">
        <f t="shared" si="38"/>
        <v>212</v>
      </c>
      <c r="B2456" s="2">
        <v>468</v>
      </c>
      <c r="C2456" s="2">
        <v>8</v>
      </c>
      <c r="D2456" s="2">
        <v>1817</v>
      </c>
      <c r="E2456">
        <v>9108</v>
      </c>
      <c r="H2456" t="s">
        <v>1541</v>
      </c>
      <c r="I2456" s="2">
        <v>212</v>
      </c>
      <c r="J2456" s="2">
        <v>0</v>
      </c>
      <c r="K2456" s="8" t="s">
        <v>872</v>
      </c>
      <c r="L2456" s="43" t="s">
        <v>4227</v>
      </c>
      <c r="P2456" s="41">
        <v>18</v>
      </c>
      <c r="Q2456" s="41">
        <v>7</v>
      </c>
      <c r="R2456" s="41">
        <v>80</v>
      </c>
      <c r="S2456" t="s">
        <v>3329</v>
      </c>
      <c r="AH2456" t="s">
        <v>359</v>
      </c>
    </row>
    <row r="2457" spans="1:34" ht="15.75">
      <c r="A2457" s="29">
        <f t="shared" si="38"/>
        <v>59</v>
      </c>
      <c r="B2457" s="2">
        <v>468</v>
      </c>
      <c r="C2457" s="2">
        <v>8</v>
      </c>
      <c r="D2457" s="2">
        <v>1817</v>
      </c>
      <c r="E2457">
        <v>9109</v>
      </c>
      <c r="H2457" t="s">
        <v>1541</v>
      </c>
      <c r="I2457" s="2">
        <v>59</v>
      </c>
      <c r="J2457" s="2">
        <v>0</v>
      </c>
      <c r="K2457" s="8" t="s">
        <v>872</v>
      </c>
      <c r="L2457" s="43" t="s">
        <v>4227</v>
      </c>
      <c r="P2457" s="41">
        <v>3</v>
      </c>
      <c r="Q2457" s="41">
        <v>7</v>
      </c>
      <c r="R2457" s="41">
        <v>54</v>
      </c>
      <c r="S2457" t="s">
        <v>3329</v>
      </c>
      <c r="AH2457" t="s">
        <v>359</v>
      </c>
    </row>
    <row r="2458" spans="1:34" ht="15.75">
      <c r="A2458" s="29">
        <f t="shared" si="38"/>
        <v>996</v>
      </c>
      <c r="B2458" s="2">
        <v>468</v>
      </c>
      <c r="C2458" s="2">
        <v>8</v>
      </c>
      <c r="D2458" s="2">
        <v>1817</v>
      </c>
      <c r="E2458">
        <v>9110</v>
      </c>
      <c r="H2458" t="s">
        <v>1541</v>
      </c>
      <c r="I2458" s="2">
        <v>996</v>
      </c>
      <c r="J2458" s="2">
        <v>0</v>
      </c>
      <c r="K2458" s="8" t="s">
        <v>872</v>
      </c>
      <c r="L2458" s="43" t="s">
        <v>4227</v>
      </c>
      <c r="P2458" s="41">
        <v>28</v>
      </c>
      <c r="Q2458" s="41">
        <v>9</v>
      </c>
      <c r="R2458" s="41">
        <v>52</v>
      </c>
      <c r="S2458" t="s">
        <v>3329</v>
      </c>
      <c r="AH2458" t="s">
        <v>359</v>
      </c>
    </row>
    <row r="2459" spans="1:34" ht="15.75">
      <c r="A2459" s="29">
        <f t="shared" si="38"/>
        <v>1661</v>
      </c>
      <c r="B2459" s="2">
        <v>468</v>
      </c>
      <c r="C2459" s="2">
        <v>8</v>
      </c>
      <c r="D2459" s="2">
        <v>1817</v>
      </c>
      <c r="E2459">
        <v>9111</v>
      </c>
      <c r="H2459" t="s">
        <v>1540</v>
      </c>
      <c r="I2459" s="2">
        <f>1570+91</f>
        <v>1661</v>
      </c>
      <c r="J2459" s="2">
        <v>0</v>
      </c>
      <c r="K2459" s="8" t="s">
        <v>872</v>
      </c>
      <c r="L2459" s="43" t="s">
        <v>4229</v>
      </c>
      <c r="P2459" s="41">
        <v>14</v>
      </c>
      <c r="Q2459" s="41">
        <v>8</v>
      </c>
      <c r="R2459" s="41">
        <v>83</v>
      </c>
      <c r="S2459" t="s">
        <v>3324</v>
      </c>
      <c r="AH2459" t="s">
        <v>359</v>
      </c>
    </row>
    <row r="2460" spans="1:34" ht="15.75">
      <c r="A2460" s="29">
        <f t="shared" si="38"/>
        <v>57518</v>
      </c>
      <c r="B2460" s="2">
        <v>468</v>
      </c>
      <c r="C2460" s="2">
        <v>8</v>
      </c>
      <c r="D2460" s="2">
        <v>1817</v>
      </c>
      <c r="E2460">
        <v>9112</v>
      </c>
      <c r="H2460" t="s">
        <v>1541</v>
      </c>
      <c r="I2460" s="2">
        <v>998</v>
      </c>
      <c r="J2460" s="2">
        <v>2826</v>
      </c>
      <c r="K2460" s="8" t="s">
        <v>872</v>
      </c>
      <c r="L2460" s="43" t="s">
        <v>2572</v>
      </c>
      <c r="M2460" s="41" t="s">
        <v>5842</v>
      </c>
      <c r="O2460" s="41" t="s">
        <v>2573</v>
      </c>
      <c r="P2460" s="41">
        <v>16</v>
      </c>
      <c r="Q2460" s="41">
        <v>3</v>
      </c>
      <c r="R2460" s="41">
        <v>63</v>
      </c>
      <c r="S2460" t="s">
        <v>2574</v>
      </c>
      <c r="T2460" t="s">
        <v>2575</v>
      </c>
      <c r="V2460" t="s">
        <v>2576</v>
      </c>
      <c r="X2460">
        <v>1</v>
      </c>
      <c r="Y2460" t="s">
        <v>2577</v>
      </c>
      <c r="AH2460" t="s">
        <v>359</v>
      </c>
    </row>
    <row r="2461" spans="1:34" ht="15.75">
      <c r="A2461" s="29">
        <f t="shared" si="38"/>
        <v>4513</v>
      </c>
      <c r="B2461" s="2">
        <v>468</v>
      </c>
      <c r="C2461" s="2">
        <v>8</v>
      </c>
      <c r="D2461" s="2">
        <v>1817</v>
      </c>
      <c r="E2461">
        <v>9113</v>
      </c>
      <c r="H2461" t="s">
        <v>1541</v>
      </c>
      <c r="I2461" s="2">
        <v>513</v>
      </c>
      <c r="J2461" s="2">
        <v>200</v>
      </c>
      <c r="K2461" s="8" t="s">
        <v>872</v>
      </c>
      <c r="L2461" s="43" t="s">
        <v>2578</v>
      </c>
      <c r="M2461" s="41" t="s">
        <v>3581</v>
      </c>
      <c r="N2461" s="41" t="s">
        <v>2579</v>
      </c>
      <c r="O2461" s="41" t="s">
        <v>2580</v>
      </c>
      <c r="P2461" s="41">
        <v>29</v>
      </c>
      <c r="Q2461" s="41">
        <v>4</v>
      </c>
      <c r="R2461" s="41">
        <v>68</v>
      </c>
      <c r="S2461" t="s">
        <v>2581</v>
      </c>
      <c r="T2461" t="s">
        <v>2582</v>
      </c>
      <c r="V2461" t="s">
        <v>1573</v>
      </c>
      <c r="X2461">
        <v>1</v>
      </c>
      <c r="Y2461" t="s">
        <v>2583</v>
      </c>
      <c r="AH2461" t="s">
        <v>359</v>
      </c>
    </row>
    <row r="2462" spans="1:34" ht="15.75">
      <c r="A2462" s="29">
        <f t="shared" si="38"/>
        <v>149</v>
      </c>
      <c r="B2462" s="2">
        <v>468</v>
      </c>
      <c r="C2462" s="2">
        <v>8</v>
      </c>
      <c r="D2462" s="2">
        <v>1817</v>
      </c>
      <c r="E2462">
        <v>9114</v>
      </c>
      <c r="H2462" t="s">
        <v>1541</v>
      </c>
      <c r="I2462" s="2">
        <v>149</v>
      </c>
      <c r="J2462" s="2">
        <v>0</v>
      </c>
      <c r="K2462" s="8" t="s">
        <v>872</v>
      </c>
      <c r="L2462" s="43" t="s">
        <v>4253</v>
      </c>
      <c r="P2462" s="41">
        <v>7</v>
      </c>
      <c r="Q2462" s="41">
        <v>2</v>
      </c>
      <c r="R2462" s="41" t="s">
        <v>868</v>
      </c>
      <c r="S2462" t="s">
        <v>3321</v>
      </c>
      <c r="AH2462" t="s">
        <v>359</v>
      </c>
    </row>
    <row r="2463" spans="1:34" ht="15.75">
      <c r="A2463" s="29">
        <f t="shared" si="38"/>
        <v>428</v>
      </c>
      <c r="B2463" s="2">
        <v>468</v>
      </c>
      <c r="C2463" s="2">
        <v>8</v>
      </c>
      <c r="D2463" s="2">
        <v>1817</v>
      </c>
      <c r="E2463">
        <v>9115</v>
      </c>
      <c r="H2463" t="s">
        <v>1541</v>
      </c>
      <c r="I2463" s="2">
        <v>428</v>
      </c>
      <c r="J2463" s="2">
        <v>0</v>
      </c>
      <c r="K2463" s="8" t="s">
        <v>872</v>
      </c>
      <c r="L2463" s="43" t="s">
        <v>5229</v>
      </c>
      <c r="P2463" s="41">
        <v>11</v>
      </c>
      <c r="Q2463" s="41">
        <v>11</v>
      </c>
      <c r="R2463" s="41">
        <v>68</v>
      </c>
      <c r="S2463" t="s">
        <v>3321</v>
      </c>
      <c r="AH2463" t="s">
        <v>359</v>
      </c>
    </row>
    <row r="2464" spans="1:34" ht="15.75">
      <c r="A2464" s="29">
        <f t="shared" si="38"/>
        <v>111816</v>
      </c>
      <c r="B2464" s="2">
        <v>468</v>
      </c>
      <c r="C2464" s="2">
        <v>8</v>
      </c>
      <c r="D2464" s="2">
        <v>1817</v>
      </c>
      <c r="E2464">
        <v>9116</v>
      </c>
      <c r="H2464" t="s">
        <v>1541</v>
      </c>
      <c r="I2464" s="2">
        <f>109000+2816</f>
        <v>111816</v>
      </c>
      <c r="J2464" s="2">
        <v>0</v>
      </c>
      <c r="K2464" s="8" t="s">
        <v>872</v>
      </c>
      <c r="L2464" s="43" t="s">
        <v>2584</v>
      </c>
      <c r="M2464" s="41" t="s">
        <v>2585</v>
      </c>
      <c r="O2464" s="41" t="s">
        <v>2586</v>
      </c>
      <c r="P2464" s="41">
        <v>14</v>
      </c>
      <c r="Q2464" s="41">
        <v>4</v>
      </c>
      <c r="R2464" s="41">
        <v>67</v>
      </c>
      <c r="S2464" t="s">
        <v>2587</v>
      </c>
      <c r="T2464" t="s">
        <v>2588</v>
      </c>
      <c r="V2464" t="s">
        <v>5056</v>
      </c>
      <c r="AA2464" t="s">
        <v>4647</v>
      </c>
      <c r="AH2464" t="s">
        <v>359</v>
      </c>
    </row>
    <row r="2465" spans="1:34" ht="15.75">
      <c r="A2465" s="29">
        <f t="shared" si="38"/>
        <v>1400</v>
      </c>
      <c r="B2465" s="2">
        <v>468</v>
      </c>
      <c r="C2465" s="2">
        <v>8</v>
      </c>
      <c r="D2465" s="2">
        <v>1817</v>
      </c>
      <c r="E2465">
        <v>9117</v>
      </c>
      <c r="H2465" t="s">
        <v>850</v>
      </c>
      <c r="I2465" s="2">
        <v>1400</v>
      </c>
      <c r="J2465" s="2">
        <v>0</v>
      </c>
      <c r="K2465" s="8" t="s">
        <v>872</v>
      </c>
      <c r="L2465" s="43" t="s">
        <v>4232</v>
      </c>
      <c r="P2465" s="41">
        <v>4</v>
      </c>
      <c r="Q2465" s="41">
        <v>5</v>
      </c>
      <c r="R2465" s="41">
        <v>71</v>
      </c>
      <c r="S2465" t="s">
        <v>3329</v>
      </c>
      <c r="AH2465" t="s">
        <v>359</v>
      </c>
    </row>
    <row r="2466" spans="1:34" ht="15.75">
      <c r="A2466" s="29">
        <f t="shared" si="38"/>
        <v>1319</v>
      </c>
      <c r="B2466" s="2">
        <v>468</v>
      </c>
      <c r="C2466" s="2">
        <v>8</v>
      </c>
      <c r="D2466" s="2">
        <v>1817</v>
      </c>
      <c r="E2466">
        <v>9118</v>
      </c>
      <c r="H2466" t="s">
        <v>1541</v>
      </c>
      <c r="I2466" s="2">
        <v>1319</v>
      </c>
      <c r="J2466" s="2">
        <v>0</v>
      </c>
      <c r="K2466" s="8" t="s">
        <v>872</v>
      </c>
      <c r="L2466" s="43" t="s">
        <v>4233</v>
      </c>
      <c r="P2466" s="41">
        <v>2</v>
      </c>
      <c r="Q2466" s="41">
        <v>10</v>
      </c>
      <c r="R2466" s="41">
        <v>70</v>
      </c>
      <c r="S2466" t="s">
        <v>5227</v>
      </c>
      <c r="AH2466" t="s">
        <v>359</v>
      </c>
    </row>
    <row r="2467" spans="1:34" ht="15.75">
      <c r="A2467" s="29">
        <f t="shared" si="38"/>
        <v>25559</v>
      </c>
      <c r="B2467" s="8">
        <v>468</v>
      </c>
      <c r="C2467" s="8">
        <v>8</v>
      </c>
      <c r="D2467" s="8">
        <v>1817</v>
      </c>
      <c r="E2467">
        <v>9119</v>
      </c>
      <c r="F2467" s="9"/>
      <c r="G2467" s="9"/>
      <c r="H2467" s="9" t="s">
        <v>1540</v>
      </c>
      <c r="I2467" s="8">
        <v>25559</v>
      </c>
      <c r="J2467" s="8">
        <v>0</v>
      </c>
      <c r="K2467" s="8" t="s">
        <v>872</v>
      </c>
      <c r="L2467" s="43" t="s">
        <v>2589</v>
      </c>
      <c r="M2467" s="43" t="s">
        <v>3363</v>
      </c>
      <c r="N2467" s="43" t="s">
        <v>2590</v>
      </c>
      <c r="O2467" s="43" t="s">
        <v>2591</v>
      </c>
      <c r="P2467" s="43">
        <v>20</v>
      </c>
      <c r="Q2467" s="43">
        <v>7</v>
      </c>
      <c r="R2467" s="43">
        <v>85</v>
      </c>
      <c r="S2467" s="9" t="s">
        <v>2592</v>
      </c>
      <c r="T2467" s="9" t="s">
        <v>1162</v>
      </c>
      <c r="V2467" s="9" t="s">
        <v>703</v>
      </c>
      <c r="W2467" s="9"/>
      <c r="X2467" s="9"/>
      <c r="Y2467" s="9"/>
      <c r="AH2467" t="s">
        <v>359</v>
      </c>
    </row>
    <row r="2468" spans="1:34" ht="15.75">
      <c r="A2468" s="29">
        <f t="shared" si="38"/>
        <v>430</v>
      </c>
      <c r="B2468" s="2">
        <v>468</v>
      </c>
      <c r="C2468" s="2">
        <v>8</v>
      </c>
      <c r="D2468" s="2">
        <v>1817</v>
      </c>
      <c r="E2468">
        <v>9121</v>
      </c>
      <c r="H2468" t="s">
        <v>1541</v>
      </c>
      <c r="I2468" s="2">
        <v>430</v>
      </c>
      <c r="J2468" s="2">
        <v>0</v>
      </c>
      <c r="K2468" s="8" t="s">
        <v>872</v>
      </c>
      <c r="L2468" s="43" t="s">
        <v>4236</v>
      </c>
      <c r="P2468" s="43">
        <v>5</v>
      </c>
      <c r="Q2468" s="43">
        <v>12</v>
      </c>
      <c r="R2468" s="43">
        <v>37</v>
      </c>
      <c r="S2468" t="s">
        <v>3321</v>
      </c>
      <c r="AH2468" t="s">
        <v>359</v>
      </c>
    </row>
    <row r="2469" spans="1:34" ht="15.75">
      <c r="A2469" s="29">
        <f t="shared" si="38"/>
        <v>2122</v>
      </c>
      <c r="B2469" s="2">
        <v>468</v>
      </c>
      <c r="C2469" s="2">
        <v>8</v>
      </c>
      <c r="D2469" s="2">
        <v>1817</v>
      </c>
      <c r="E2469">
        <v>9122</v>
      </c>
      <c r="H2469" t="s">
        <v>1540</v>
      </c>
      <c r="I2469" s="2">
        <v>2122</v>
      </c>
      <c r="J2469" s="2">
        <v>0</v>
      </c>
      <c r="K2469" s="8" t="s">
        <v>872</v>
      </c>
      <c r="L2469" s="43" t="s">
        <v>1390</v>
      </c>
      <c r="P2469" s="43">
        <v>27</v>
      </c>
      <c r="Q2469" s="43">
        <v>11</v>
      </c>
      <c r="R2469" s="43">
        <v>65</v>
      </c>
      <c r="S2469" t="s">
        <v>3343</v>
      </c>
      <c r="AH2469" t="s">
        <v>359</v>
      </c>
    </row>
    <row r="2470" spans="1:34" ht="15.75">
      <c r="A2470" s="29">
        <f t="shared" si="38"/>
        <v>7601</v>
      </c>
      <c r="B2470" s="2">
        <v>469</v>
      </c>
      <c r="C2470" s="2">
        <v>8</v>
      </c>
      <c r="D2470" s="2">
        <v>1817</v>
      </c>
      <c r="E2470">
        <v>9145</v>
      </c>
      <c r="H2470" t="s">
        <v>1541</v>
      </c>
      <c r="I2470" s="2">
        <f>2601+5000</f>
        <v>7601</v>
      </c>
      <c r="J2470" s="2">
        <v>0</v>
      </c>
      <c r="K2470" s="2" t="s">
        <v>873</v>
      </c>
      <c r="AH2470" t="s">
        <v>359</v>
      </c>
    </row>
    <row r="2471" spans="1:34" ht="15.75">
      <c r="A2471" s="29">
        <f t="shared" si="38"/>
        <v>175</v>
      </c>
      <c r="B2471" s="2">
        <v>469</v>
      </c>
      <c r="C2471" s="2">
        <v>8</v>
      </c>
      <c r="D2471" s="2">
        <v>1817</v>
      </c>
      <c r="E2471">
        <v>9146</v>
      </c>
      <c r="H2471" t="s">
        <v>1541</v>
      </c>
      <c r="I2471" s="2">
        <v>175</v>
      </c>
      <c r="J2471" s="2">
        <v>0</v>
      </c>
      <c r="K2471" s="2" t="s">
        <v>873</v>
      </c>
      <c r="AH2471" t="s">
        <v>359</v>
      </c>
    </row>
    <row r="2472" spans="1:34" ht="15.75">
      <c r="A2472" s="29">
        <f t="shared" si="38"/>
        <v>17425</v>
      </c>
      <c r="B2472" s="8">
        <v>469</v>
      </c>
      <c r="C2472" s="8">
        <v>8</v>
      </c>
      <c r="D2472" s="8">
        <v>1817</v>
      </c>
      <c r="E2472">
        <v>9147</v>
      </c>
      <c r="F2472" s="9"/>
      <c r="G2472" s="9"/>
      <c r="H2472" s="9" t="s">
        <v>1541</v>
      </c>
      <c r="I2472" s="8">
        <v>17425</v>
      </c>
      <c r="J2472" s="8">
        <v>0</v>
      </c>
      <c r="K2472" s="2" t="s">
        <v>873</v>
      </c>
      <c r="L2472" s="43" t="s">
        <v>2594</v>
      </c>
      <c r="M2472" s="41" t="s">
        <v>3153</v>
      </c>
      <c r="N2472" s="41" t="s">
        <v>2595</v>
      </c>
      <c r="O2472" s="41" t="s">
        <v>2596</v>
      </c>
      <c r="P2472" s="41">
        <v>9</v>
      </c>
      <c r="Q2472" s="41">
        <v>9</v>
      </c>
      <c r="R2472" s="41">
        <v>34</v>
      </c>
      <c r="S2472" t="s">
        <v>2597</v>
      </c>
      <c r="T2472" t="s">
        <v>2598</v>
      </c>
      <c r="V2472" t="s">
        <v>3911</v>
      </c>
      <c r="AH2472" t="s">
        <v>359</v>
      </c>
    </row>
    <row r="2473" spans="1:34" ht="15.75">
      <c r="A2473" s="29">
        <f t="shared" si="38"/>
        <v>35664</v>
      </c>
      <c r="B2473" s="8">
        <v>469</v>
      </c>
      <c r="C2473" s="8">
        <v>8</v>
      </c>
      <c r="D2473" s="8">
        <v>1817</v>
      </c>
      <c r="E2473">
        <v>9149</v>
      </c>
      <c r="F2473" s="9"/>
      <c r="G2473" s="9"/>
      <c r="H2473" s="9" t="s">
        <v>1541</v>
      </c>
      <c r="I2473" s="8">
        <v>35664</v>
      </c>
      <c r="J2473" s="8">
        <v>0</v>
      </c>
      <c r="K2473" s="2" t="s">
        <v>873</v>
      </c>
      <c r="L2473" s="43" t="s">
        <v>2599</v>
      </c>
      <c r="M2473" s="41" t="s">
        <v>4643</v>
      </c>
      <c r="O2473" s="41" t="s">
        <v>2600</v>
      </c>
      <c r="P2473" s="41">
        <v>4</v>
      </c>
      <c r="Q2473" s="41">
        <v>5</v>
      </c>
      <c r="R2473" s="41">
        <v>8</v>
      </c>
      <c r="S2473" t="s">
        <v>3343</v>
      </c>
      <c r="T2473" t="s">
        <v>2601</v>
      </c>
      <c r="V2473" t="s">
        <v>4644</v>
      </c>
      <c r="AH2473" t="s">
        <v>359</v>
      </c>
    </row>
    <row r="2474" spans="1:34" ht="15.75">
      <c r="A2474" s="29">
        <f t="shared" si="38"/>
        <v>175</v>
      </c>
      <c r="B2474" s="8">
        <v>469</v>
      </c>
      <c r="C2474" s="8">
        <v>8</v>
      </c>
      <c r="D2474" s="8">
        <v>1817</v>
      </c>
      <c r="E2474">
        <v>9151</v>
      </c>
      <c r="F2474" s="9"/>
      <c r="G2474" s="9"/>
      <c r="H2474" s="9" t="s">
        <v>1540</v>
      </c>
      <c r="I2474" s="8">
        <v>175</v>
      </c>
      <c r="J2474" s="8">
        <v>0</v>
      </c>
      <c r="K2474" s="2" t="s">
        <v>873</v>
      </c>
      <c r="AH2474" t="s">
        <v>359</v>
      </c>
    </row>
    <row r="2475" spans="1:34" ht="15.75">
      <c r="A2475" s="29">
        <f t="shared" si="38"/>
        <v>8207</v>
      </c>
      <c r="B2475" s="8">
        <v>469</v>
      </c>
      <c r="C2475" s="8">
        <v>8</v>
      </c>
      <c r="D2475" s="8">
        <v>1817</v>
      </c>
      <c r="E2475">
        <v>9153</v>
      </c>
      <c r="F2475" s="9"/>
      <c r="G2475" s="9"/>
      <c r="H2475" s="9" t="s">
        <v>1541</v>
      </c>
      <c r="I2475" s="8">
        <v>8207</v>
      </c>
      <c r="J2475" s="8">
        <v>0</v>
      </c>
      <c r="K2475" s="2" t="s">
        <v>873</v>
      </c>
      <c r="AH2475" t="s">
        <v>359</v>
      </c>
    </row>
    <row r="2476" spans="1:34" ht="15.75">
      <c r="A2476" s="29">
        <f t="shared" si="38"/>
        <v>648</v>
      </c>
      <c r="B2476" s="8">
        <v>469</v>
      </c>
      <c r="C2476" s="8">
        <v>8</v>
      </c>
      <c r="D2476" s="8">
        <v>1817</v>
      </c>
      <c r="E2476">
        <v>9154</v>
      </c>
      <c r="F2476" s="9"/>
      <c r="G2476" s="9"/>
      <c r="H2476" s="9" t="s">
        <v>1540</v>
      </c>
      <c r="I2476" s="8">
        <v>648</v>
      </c>
      <c r="J2476" s="8">
        <v>0</v>
      </c>
      <c r="K2476" s="2" t="s">
        <v>873</v>
      </c>
      <c r="AH2476" t="s">
        <v>359</v>
      </c>
    </row>
    <row r="2477" spans="1:34" ht="15.75">
      <c r="A2477" s="29">
        <f t="shared" si="38"/>
        <v>23568</v>
      </c>
      <c r="B2477" s="8">
        <v>469</v>
      </c>
      <c r="C2477" s="8">
        <v>8</v>
      </c>
      <c r="D2477" s="8">
        <v>1817</v>
      </c>
      <c r="E2477">
        <v>9155</v>
      </c>
      <c r="F2477" s="9"/>
      <c r="G2477" s="9"/>
      <c r="H2477" s="9" t="s">
        <v>1541</v>
      </c>
      <c r="I2477" s="8">
        <v>23568</v>
      </c>
      <c r="J2477" s="8">
        <v>0</v>
      </c>
      <c r="K2477" s="2" t="s">
        <v>873</v>
      </c>
      <c r="L2477" s="43" t="s">
        <v>2602</v>
      </c>
      <c r="M2477" s="43" t="s">
        <v>1371</v>
      </c>
      <c r="N2477" s="43"/>
      <c r="O2477" s="41" t="s">
        <v>2603</v>
      </c>
      <c r="P2477" s="41">
        <v>28</v>
      </c>
      <c r="Q2477" s="41">
        <v>4</v>
      </c>
      <c r="R2477" s="41">
        <v>77</v>
      </c>
      <c r="S2477" t="s">
        <v>2604</v>
      </c>
      <c r="T2477" t="s">
        <v>4649</v>
      </c>
      <c r="U2477" t="s">
        <v>4944</v>
      </c>
      <c r="V2477" t="s">
        <v>2605</v>
      </c>
      <c r="AH2477" t="s">
        <v>359</v>
      </c>
    </row>
    <row r="2478" spans="1:34" ht="15.75">
      <c r="A2478" s="29">
        <f t="shared" si="38"/>
        <v>1700</v>
      </c>
      <c r="B2478" s="2">
        <v>469</v>
      </c>
      <c r="C2478" s="2">
        <v>8</v>
      </c>
      <c r="D2478" s="2">
        <v>1817</v>
      </c>
      <c r="E2478">
        <v>9156</v>
      </c>
      <c r="H2478" t="s">
        <v>1541</v>
      </c>
      <c r="I2478" s="2">
        <v>1700</v>
      </c>
      <c r="J2478" s="2">
        <v>0</v>
      </c>
      <c r="K2478" s="2" t="s">
        <v>873</v>
      </c>
      <c r="AH2478" t="s">
        <v>359</v>
      </c>
    </row>
    <row r="2479" spans="1:34" ht="15.75">
      <c r="A2479" s="29">
        <f t="shared" si="38"/>
        <v>100000</v>
      </c>
      <c r="B2479" s="2">
        <v>469</v>
      </c>
      <c r="C2479" s="2">
        <v>8</v>
      </c>
      <c r="D2479" s="2">
        <v>1817</v>
      </c>
      <c r="E2479">
        <v>9158</v>
      </c>
      <c r="H2479" t="s">
        <v>1540</v>
      </c>
      <c r="I2479" s="2">
        <v>0</v>
      </c>
      <c r="J2479" s="2">
        <v>5000</v>
      </c>
      <c r="K2479" s="2" t="s">
        <v>873</v>
      </c>
      <c r="L2479" s="43" t="s">
        <v>2612</v>
      </c>
      <c r="M2479" s="41" t="s">
        <v>2613</v>
      </c>
      <c r="N2479" s="41" t="s">
        <v>2614</v>
      </c>
      <c r="O2479" s="41" t="s">
        <v>2615</v>
      </c>
      <c r="P2479" s="41">
        <v>3</v>
      </c>
      <c r="Q2479" s="41">
        <v>2</v>
      </c>
      <c r="S2479" t="s">
        <v>2616</v>
      </c>
      <c r="T2479" t="s">
        <v>4645</v>
      </c>
      <c r="V2479" t="s">
        <v>2617</v>
      </c>
      <c r="X2479">
        <v>1</v>
      </c>
      <c r="Y2479" t="s">
        <v>2618</v>
      </c>
      <c r="AH2479" t="s">
        <v>359</v>
      </c>
    </row>
    <row r="2480" spans="1:34" ht="15.75">
      <c r="A2480" s="29">
        <f t="shared" si="38"/>
        <v>1501</v>
      </c>
      <c r="B2480" s="2">
        <v>469</v>
      </c>
      <c r="C2480" s="2">
        <v>8</v>
      </c>
      <c r="D2480" s="2">
        <v>1817</v>
      </c>
      <c r="E2480">
        <v>9159</v>
      </c>
      <c r="H2480" t="s">
        <v>1540</v>
      </c>
      <c r="I2480" s="2">
        <v>1501</v>
      </c>
      <c r="J2480" s="2">
        <v>0</v>
      </c>
      <c r="K2480" s="2" t="s">
        <v>873</v>
      </c>
      <c r="AH2480" t="s">
        <v>359</v>
      </c>
    </row>
    <row r="2481" spans="1:34" ht="15.75">
      <c r="A2481" s="29">
        <f t="shared" si="38"/>
        <v>13812</v>
      </c>
      <c r="B2481" s="2">
        <v>469</v>
      </c>
      <c r="C2481" s="2">
        <v>8</v>
      </c>
      <c r="D2481" s="2">
        <v>1817</v>
      </c>
      <c r="E2481">
        <v>9161</v>
      </c>
      <c r="H2481" t="s">
        <v>1541</v>
      </c>
      <c r="I2481" s="2">
        <v>13812</v>
      </c>
      <c r="J2481" s="2">
        <v>0</v>
      </c>
      <c r="K2481" s="2" t="s">
        <v>873</v>
      </c>
      <c r="AH2481" t="s">
        <v>359</v>
      </c>
    </row>
    <row r="2482" spans="1:34" ht="15.75">
      <c r="A2482" s="29">
        <f t="shared" si="38"/>
        <v>50000</v>
      </c>
      <c r="B2482" s="2">
        <v>469</v>
      </c>
      <c r="C2482" s="2">
        <v>8</v>
      </c>
      <c r="D2482" s="2">
        <v>1817</v>
      </c>
      <c r="E2482">
        <v>9163</v>
      </c>
      <c r="H2482" t="s">
        <v>1541</v>
      </c>
      <c r="I2482" s="2">
        <v>50000</v>
      </c>
      <c r="J2482" s="2">
        <v>0</v>
      </c>
      <c r="K2482" s="2" t="s">
        <v>873</v>
      </c>
      <c r="L2482" s="43" t="s">
        <v>2619</v>
      </c>
      <c r="M2482" s="41" t="s">
        <v>2620</v>
      </c>
      <c r="O2482" s="41" t="s">
        <v>2621</v>
      </c>
      <c r="P2482" s="41">
        <v>19</v>
      </c>
      <c r="Q2482" s="41">
        <v>4</v>
      </c>
      <c r="R2482" s="41">
        <v>31</v>
      </c>
      <c r="S2482" t="s">
        <v>2622</v>
      </c>
      <c r="T2482" t="s">
        <v>2623</v>
      </c>
      <c r="V2482" s="5" t="s">
        <v>4172</v>
      </c>
      <c r="W2482" s="5"/>
      <c r="AG2482" t="s">
        <v>2624</v>
      </c>
      <c r="AH2482" t="s">
        <v>359</v>
      </c>
    </row>
    <row r="2483" spans="1:34" ht="15.75">
      <c r="A2483" s="29">
        <f t="shared" si="38"/>
        <v>15715</v>
      </c>
      <c r="B2483" s="2">
        <v>469</v>
      </c>
      <c r="C2483" s="2">
        <v>8</v>
      </c>
      <c r="D2483" s="2">
        <v>1817</v>
      </c>
      <c r="E2483">
        <v>9165</v>
      </c>
      <c r="H2483" t="s">
        <v>1540</v>
      </c>
      <c r="I2483" s="2">
        <f>915+800</f>
        <v>1715</v>
      </c>
      <c r="J2483" s="2">
        <v>700</v>
      </c>
      <c r="K2483" s="2" t="s">
        <v>873</v>
      </c>
      <c r="X2483">
        <v>1</v>
      </c>
      <c r="Y2483" t="s">
        <v>2625</v>
      </c>
      <c r="AH2483" t="s">
        <v>359</v>
      </c>
    </row>
    <row r="2484" spans="1:34" ht="15.75">
      <c r="A2484" s="29">
        <f t="shared" si="38"/>
        <v>40540</v>
      </c>
      <c r="B2484" s="2">
        <v>469</v>
      </c>
      <c r="C2484" s="2">
        <v>8</v>
      </c>
      <c r="D2484" s="2">
        <v>1817</v>
      </c>
      <c r="E2484">
        <v>9167</v>
      </c>
      <c r="H2484" t="s">
        <v>1541</v>
      </c>
      <c r="I2484" s="2">
        <v>540</v>
      </c>
      <c r="J2484" s="2">
        <v>2000</v>
      </c>
      <c r="K2484" s="2" t="s">
        <v>873</v>
      </c>
      <c r="L2484" s="43" t="s">
        <v>2626</v>
      </c>
      <c r="M2484" s="41" t="s">
        <v>2627</v>
      </c>
      <c r="N2484" s="41" t="s">
        <v>1551</v>
      </c>
      <c r="O2484" s="41" t="s">
        <v>2628</v>
      </c>
      <c r="P2484" s="41">
        <v>21</v>
      </c>
      <c r="Q2484" s="41">
        <v>1</v>
      </c>
      <c r="R2484" s="41">
        <v>67</v>
      </c>
      <c r="S2484" t="s">
        <v>2629</v>
      </c>
      <c r="T2484" t="s">
        <v>4646</v>
      </c>
      <c r="V2484" t="s">
        <v>2630</v>
      </c>
      <c r="X2484">
        <v>1</v>
      </c>
      <c r="Y2484" t="s">
        <v>2631</v>
      </c>
      <c r="AH2484" t="s">
        <v>359</v>
      </c>
    </row>
    <row r="2485" spans="1:34" ht="15.75">
      <c r="A2485" s="29">
        <f t="shared" si="38"/>
        <v>12888</v>
      </c>
      <c r="B2485" s="2">
        <v>469</v>
      </c>
      <c r="C2485" s="2">
        <v>8</v>
      </c>
      <c r="D2485" s="2">
        <v>1817</v>
      </c>
      <c r="E2485">
        <v>9169</v>
      </c>
      <c r="H2485" t="s">
        <v>1540</v>
      </c>
      <c r="I2485" s="2">
        <v>12888</v>
      </c>
      <c r="J2485" s="2">
        <v>0</v>
      </c>
      <c r="K2485" s="2" t="s">
        <v>873</v>
      </c>
      <c r="AH2485" t="s">
        <v>359</v>
      </c>
    </row>
    <row r="2486" spans="1:34" ht="15.75">
      <c r="A2486" s="29">
        <f t="shared" si="38"/>
        <v>2640</v>
      </c>
      <c r="B2486" s="2">
        <v>469</v>
      </c>
      <c r="C2486" s="2">
        <v>8</v>
      </c>
      <c r="D2486" s="2">
        <v>1817</v>
      </c>
      <c r="E2486">
        <v>9171</v>
      </c>
      <c r="H2486" t="s">
        <v>1541</v>
      </c>
      <c r="I2486" s="2">
        <v>2640</v>
      </c>
      <c r="J2486" s="2">
        <v>0</v>
      </c>
      <c r="K2486" s="2" t="s">
        <v>873</v>
      </c>
      <c r="AH2486" t="s">
        <v>359</v>
      </c>
    </row>
    <row r="2487" spans="1:34" ht="15.75">
      <c r="A2487" s="29">
        <f t="shared" si="38"/>
        <v>1160</v>
      </c>
      <c r="B2487" s="2">
        <v>469</v>
      </c>
      <c r="C2487" s="2">
        <v>8</v>
      </c>
      <c r="D2487" s="2">
        <v>1817</v>
      </c>
      <c r="E2487">
        <v>9172</v>
      </c>
      <c r="H2487" t="s">
        <v>1541</v>
      </c>
      <c r="I2487" s="2">
        <v>1160</v>
      </c>
      <c r="J2487" s="2">
        <v>0</v>
      </c>
      <c r="K2487" s="2" t="s">
        <v>873</v>
      </c>
      <c r="AH2487" t="s">
        <v>359</v>
      </c>
    </row>
    <row r="2488" spans="1:34" ht="15.75">
      <c r="A2488" s="29">
        <f t="shared" si="38"/>
        <v>115</v>
      </c>
      <c r="B2488" s="2">
        <v>469</v>
      </c>
      <c r="C2488" s="2">
        <v>8</v>
      </c>
      <c r="D2488" s="2">
        <v>1817</v>
      </c>
      <c r="E2488">
        <v>9173</v>
      </c>
      <c r="H2488" t="s">
        <v>1540</v>
      </c>
      <c r="I2488" s="2">
        <v>115</v>
      </c>
      <c r="J2488" s="2">
        <v>0</v>
      </c>
      <c r="K2488" s="2" t="s">
        <v>873</v>
      </c>
      <c r="AH2488" t="s">
        <v>359</v>
      </c>
    </row>
    <row r="2489" spans="1:34" ht="15.75">
      <c r="A2489" s="29">
        <f t="shared" si="38"/>
        <v>50</v>
      </c>
      <c r="B2489" s="2">
        <v>469</v>
      </c>
      <c r="C2489" s="2">
        <v>8</v>
      </c>
      <c r="D2489" s="2">
        <v>1817</v>
      </c>
      <c r="E2489">
        <v>9174</v>
      </c>
      <c r="H2489" t="s">
        <v>1541</v>
      </c>
      <c r="I2489" s="2">
        <v>50</v>
      </c>
      <c r="J2489" s="2">
        <v>0</v>
      </c>
      <c r="K2489" s="2" t="s">
        <v>873</v>
      </c>
      <c r="AH2489" t="s">
        <v>359</v>
      </c>
    </row>
    <row r="2490" spans="1:34" ht="15.75">
      <c r="A2490" s="29">
        <f t="shared" si="38"/>
        <v>2633</v>
      </c>
      <c r="B2490" s="2">
        <v>469</v>
      </c>
      <c r="C2490" s="2">
        <v>8</v>
      </c>
      <c r="D2490" s="2">
        <v>1817</v>
      </c>
      <c r="E2490">
        <v>9177</v>
      </c>
      <c r="H2490" t="s">
        <v>1540</v>
      </c>
      <c r="I2490" s="2">
        <v>2633</v>
      </c>
      <c r="J2490" s="2">
        <v>0</v>
      </c>
      <c r="K2490" s="2" t="s">
        <v>873</v>
      </c>
      <c r="AH2490" t="s">
        <v>359</v>
      </c>
    </row>
    <row r="2491" spans="1:34" ht="15.75">
      <c r="A2491" s="29">
        <f t="shared" si="38"/>
        <v>12553</v>
      </c>
      <c r="B2491" s="2">
        <v>469</v>
      </c>
      <c r="C2491" s="2">
        <v>8</v>
      </c>
      <c r="D2491" s="2">
        <v>1817</v>
      </c>
      <c r="E2491">
        <v>9179</v>
      </c>
      <c r="H2491" t="s">
        <v>1540</v>
      </c>
      <c r="I2491" s="2">
        <v>12553</v>
      </c>
      <c r="J2491" s="2">
        <v>0</v>
      </c>
      <c r="K2491" s="2" t="s">
        <v>873</v>
      </c>
      <c r="AH2491" t="s">
        <v>359</v>
      </c>
    </row>
    <row r="2492" spans="1:34" ht="15.75">
      <c r="A2492" s="29">
        <f t="shared" si="38"/>
        <v>59553</v>
      </c>
      <c r="B2492" s="2">
        <v>470</v>
      </c>
      <c r="C2492" s="2">
        <v>8</v>
      </c>
      <c r="D2492" s="2">
        <v>1817</v>
      </c>
      <c r="E2492">
        <v>9196</v>
      </c>
      <c r="I2492" s="2">
        <f>12553+47000</f>
        <v>59553</v>
      </c>
      <c r="J2492" s="2">
        <v>0</v>
      </c>
      <c r="K2492" s="2" t="s">
        <v>4238</v>
      </c>
      <c r="L2492" s="43" t="s">
        <v>2632</v>
      </c>
      <c r="M2492" s="41" t="s">
        <v>2633</v>
      </c>
      <c r="N2492" s="41" t="s">
        <v>2634</v>
      </c>
      <c r="O2492" s="41" t="s">
        <v>2635</v>
      </c>
      <c r="P2492" s="41">
        <v>3</v>
      </c>
      <c r="Q2492" s="41">
        <v>5</v>
      </c>
      <c r="R2492" s="41">
        <v>48</v>
      </c>
      <c r="S2492" t="s">
        <v>3343</v>
      </c>
      <c r="T2492" t="s">
        <v>2636</v>
      </c>
      <c r="V2492" t="s">
        <v>2637</v>
      </c>
      <c r="AH2492" t="s">
        <v>359</v>
      </c>
    </row>
    <row r="2493" spans="1:34" ht="15.75">
      <c r="A2493" s="29">
        <f t="shared" si="38"/>
        <v>185</v>
      </c>
      <c r="B2493" s="2">
        <v>471</v>
      </c>
      <c r="C2493" s="2">
        <v>8</v>
      </c>
      <c r="D2493" s="2">
        <v>1817</v>
      </c>
      <c r="E2493">
        <v>9210</v>
      </c>
      <c r="H2493" t="s">
        <v>1540</v>
      </c>
      <c r="I2493" s="2">
        <v>185</v>
      </c>
      <c r="J2493" s="2">
        <v>0</v>
      </c>
      <c r="K2493" s="2" t="s">
        <v>874</v>
      </c>
      <c r="L2493" s="43" t="s">
        <v>2638</v>
      </c>
      <c r="P2493" s="41">
        <v>2</v>
      </c>
      <c r="Q2493" s="41">
        <v>12</v>
      </c>
      <c r="R2493" s="41">
        <v>23</v>
      </c>
      <c r="S2493" t="s">
        <v>1547</v>
      </c>
      <c r="AH2493" t="s">
        <v>359</v>
      </c>
    </row>
    <row r="2494" spans="1:34" ht="15.75">
      <c r="A2494" s="29">
        <f t="shared" si="38"/>
        <v>124</v>
      </c>
      <c r="B2494" s="2">
        <v>471</v>
      </c>
      <c r="C2494" s="2">
        <v>8</v>
      </c>
      <c r="D2494" s="2">
        <v>1817</v>
      </c>
      <c r="E2494">
        <v>9212</v>
      </c>
      <c r="H2494" t="s">
        <v>1540</v>
      </c>
      <c r="I2494" s="2">
        <v>124</v>
      </c>
      <c r="J2494" s="2">
        <v>0</v>
      </c>
      <c r="K2494" s="2" t="s">
        <v>874</v>
      </c>
      <c r="L2494" s="43" t="s">
        <v>2639</v>
      </c>
      <c r="P2494" s="41">
        <v>6</v>
      </c>
      <c r="Q2494" s="41">
        <v>10</v>
      </c>
      <c r="R2494" s="41">
        <v>60</v>
      </c>
      <c r="S2494" t="s">
        <v>3321</v>
      </c>
      <c r="AH2494" t="s">
        <v>359</v>
      </c>
    </row>
    <row r="2495" spans="1:34" ht="15.75">
      <c r="A2495" s="29">
        <f t="shared" si="38"/>
        <v>184</v>
      </c>
      <c r="B2495" s="2">
        <v>471</v>
      </c>
      <c r="C2495" s="2">
        <v>8</v>
      </c>
      <c r="D2495" s="2">
        <v>1817</v>
      </c>
      <c r="E2495">
        <v>9214</v>
      </c>
      <c r="H2495" t="s">
        <v>1541</v>
      </c>
      <c r="I2495" s="2">
        <v>184</v>
      </c>
      <c r="J2495" s="2">
        <v>0</v>
      </c>
      <c r="K2495" s="2" t="s">
        <v>874</v>
      </c>
      <c r="L2495" s="43" t="s">
        <v>2640</v>
      </c>
      <c r="P2495" s="41">
        <v>18</v>
      </c>
      <c r="Q2495" s="41">
        <v>3</v>
      </c>
      <c r="R2495" s="41">
        <v>76</v>
      </c>
      <c r="S2495" t="s">
        <v>3329</v>
      </c>
      <c r="AH2495" t="s">
        <v>359</v>
      </c>
    </row>
    <row r="2496" spans="1:34" ht="15.75">
      <c r="A2496" s="29">
        <f t="shared" si="38"/>
        <v>75</v>
      </c>
      <c r="B2496" s="2">
        <v>471</v>
      </c>
      <c r="C2496" s="2">
        <v>8</v>
      </c>
      <c r="D2496" s="2">
        <v>1817</v>
      </c>
      <c r="E2496">
        <v>9216</v>
      </c>
      <c r="H2496" t="s">
        <v>1541</v>
      </c>
      <c r="I2496" s="2">
        <v>75</v>
      </c>
      <c r="J2496" s="2">
        <v>0</v>
      </c>
      <c r="K2496" s="2" t="s">
        <v>874</v>
      </c>
      <c r="L2496" s="43" t="s">
        <v>4244</v>
      </c>
      <c r="P2496" s="41">
        <v>4</v>
      </c>
      <c r="Q2496" s="41">
        <v>9</v>
      </c>
      <c r="R2496" s="41">
        <v>21</v>
      </c>
      <c r="S2496" t="s">
        <v>3321</v>
      </c>
      <c r="AH2496" t="s">
        <v>359</v>
      </c>
    </row>
    <row r="2497" spans="1:34" ht="15.75">
      <c r="A2497" s="29">
        <f t="shared" si="38"/>
        <v>127</v>
      </c>
      <c r="B2497" s="2">
        <v>471</v>
      </c>
      <c r="C2497" s="2">
        <v>8</v>
      </c>
      <c r="D2497" s="2">
        <v>1817</v>
      </c>
      <c r="E2497">
        <v>9217</v>
      </c>
      <c r="H2497" t="s">
        <v>1540</v>
      </c>
      <c r="I2497" s="2">
        <v>127</v>
      </c>
      <c r="J2497" s="2">
        <v>0</v>
      </c>
      <c r="K2497" s="2" t="s">
        <v>874</v>
      </c>
      <c r="L2497" s="43" t="s">
        <v>4246</v>
      </c>
      <c r="P2497" s="41">
        <v>7</v>
      </c>
      <c r="Q2497" s="41">
        <v>2</v>
      </c>
      <c r="R2497" s="41">
        <v>50</v>
      </c>
      <c r="S2497" t="s">
        <v>3321</v>
      </c>
      <c r="AH2497" t="s">
        <v>359</v>
      </c>
    </row>
    <row r="2498" spans="1:34" ht="15.75">
      <c r="A2498" s="29">
        <f aca="true" t="shared" si="39" ref="A2498:A2529">I2498+J2498*20*X2498</f>
        <v>20105</v>
      </c>
      <c r="B2498" s="8">
        <v>471</v>
      </c>
      <c r="C2498" s="8">
        <v>8</v>
      </c>
      <c r="D2498" s="8">
        <v>1817</v>
      </c>
      <c r="E2498">
        <v>9221</v>
      </c>
      <c r="F2498" s="9"/>
      <c r="G2498" s="9"/>
      <c r="H2498" s="9" t="s">
        <v>1541</v>
      </c>
      <c r="I2498" s="8">
        <f>7525+12580</f>
        <v>20105</v>
      </c>
      <c r="J2498" s="8">
        <v>0</v>
      </c>
      <c r="K2498" s="2" t="s">
        <v>874</v>
      </c>
      <c r="L2498" s="43" t="s">
        <v>2641</v>
      </c>
      <c r="M2498" s="43" t="s">
        <v>2642</v>
      </c>
      <c r="N2498" s="43" t="s">
        <v>1555</v>
      </c>
      <c r="O2498" s="41" t="s">
        <v>2643</v>
      </c>
      <c r="P2498" s="41">
        <v>24</v>
      </c>
      <c r="Q2498" s="41">
        <v>3</v>
      </c>
      <c r="R2498" s="41">
        <v>70</v>
      </c>
      <c r="S2498" t="s">
        <v>2644</v>
      </c>
      <c r="T2498" t="s">
        <v>2645</v>
      </c>
      <c r="V2498" t="s">
        <v>2646</v>
      </c>
      <c r="AA2498" t="s">
        <v>2647</v>
      </c>
      <c r="AH2498" t="s">
        <v>359</v>
      </c>
    </row>
    <row r="2499" spans="1:34" ht="15.75">
      <c r="A2499" s="29">
        <f t="shared" si="39"/>
        <v>6000</v>
      </c>
      <c r="B2499" s="2">
        <v>471</v>
      </c>
      <c r="C2499" s="2">
        <v>8</v>
      </c>
      <c r="D2499" s="2">
        <v>1817</v>
      </c>
      <c r="E2499">
        <v>9222</v>
      </c>
      <c r="H2499" t="s">
        <v>1541</v>
      </c>
      <c r="I2499" s="2">
        <v>6000</v>
      </c>
      <c r="J2499" s="2">
        <v>0</v>
      </c>
      <c r="K2499" s="2" t="s">
        <v>874</v>
      </c>
      <c r="L2499" s="43" t="s">
        <v>4249</v>
      </c>
      <c r="P2499" s="41">
        <v>28</v>
      </c>
      <c r="Q2499" s="41">
        <v>9</v>
      </c>
      <c r="R2499" s="41">
        <v>39</v>
      </c>
      <c r="S2499" t="s">
        <v>3321</v>
      </c>
      <c r="AH2499" t="s">
        <v>359</v>
      </c>
    </row>
    <row r="2500" spans="1:34" ht="15.75">
      <c r="A2500" s="29">
        <f t="shared" si="39"/>
        <v>13400</v>
      </c>
      <c r="B2500" s="2">
        <v>471</v>
      </c>
      <c r="C2500" s="2">
        <v>8</v>
      </c>
      <c r="D2500" s="2">
        <v>1817</v>
      </c>
      <c r="E2500">
        <v>9223</v>
      </c>
      <c r="H2500" t="s">
        <v>1540</v>
      </c>
      <c r="I2500" s="2">
        <v>13400</v>
      </c>
      <c r="J2500" s="2">
        <v>0</v>
      </c>
      <c r="K2500" s="2" t="s">
        <v>874</v>
      </c>
      <c r="L2500" s="43" t="s">
        <v>2648</v>
      </c>
      <c r="P2500" s="41">
        <v>13</v>
      </c>
      <c r="Q2500" s="41">
        <v>2</v>
      </c>
      <c r="R2500" s="41">
        <v>55</v>
      </c>
      <c r="S2500" t="s">
        <v>3324</v>
      </c>
      <c r="AH2500" t="s">
        <v>359</v>
      </c>
    </row>
    <row r="2501" spans="1:34" ht="15.75">
      <c r="A2501" s="29">
        <f t="shared" si="39"/>
        <v>5233</v>
      </c>
      <c r="B2501" s="2">
        <v>471</v>
      </c>
      <c r="C2501" s="2">
        <v>8</v>
      </c>
      <c r="D2501" s="2">
        <v>1817</v>
      </c>
      <c r="E2501">
        <v>9226</v>
      </c>
      <c r="H2501" t="s">
        <v>1541</v>
      </c>
      <c r="I2501" s="2">
        <v>5233</v>
      </c>
      <c r="J2501" s="2">
        <v>0</v>
      </c>
      <c r="K2501" s="2" t="s">
        <v>874</v>
      </c>
      <c r="L2501" s="43" t="s">
        <v>2649</v>
      </c>
      <c r="P2501" s="41">
        <v>16</v>
      </c>
      <c r="Q2501" s="41">
        <v>6</v>
      </c>
      <c r="R2501" s="41">
        <v>43</v>
      </c>
      <c r="S2501" t="s">
        <v>3321</v>
      </c>
      <c r="AH2501" t="s">
        <v>359</v>
      </c>
    </row>
    <row r="2502" spans="1:34" ht="15.75">
      <c r="A2502" s="29">
        <f t="shared" si="39"/>
        <v>38</v>
      </c>
      <c r="B2502" s="2">
        <v>471</v>
      </c>
      <c r="C2502" s="2">
        <v>8</v>
      </c>
      <c r="D2502" s="2">
        <v>1817</v>
      </c>
      <c r="E2502">
        <v>9229</v>
      </c>
      <c r="H2502" t="s">
        <v>1540</v>
      </c>
      <c r="I2502" s="2">
        <v>38</v>
      </c>
      <c r="J2502" s="2">
        <v>0</v>
      </c>
      <c r="K2502" s="2" t="s">
        <v>874</v>
      </c>
      <c r="L2502" s="43" t="s">
        <v>5789</v>
      </c>
      <c r="P2502" s="41">
        <v>2</v>
      </c>
      <c r="Q2502" s="41">
        <v>12</v>
      </c>
      <c r="R2502" s="41">
        <v>54</v>
      </c>
      <c r="S2502" t="s">
        <v>3321</v>
      </c>
      <c r="AH2502" t="s">
        <v>359</v>
      </c>
    </row>
    <row r="2503" spans="1:34" ht="15.75">
      <c r="A2503" s="29">
        <f t="shared" si="39"/>
        <v>2255</v>
      </c>
      <c r="B2503" s="2">
        <v>471</v>
      </c>
      <c r="C2503" s="2">
        <v>8</v>
      </c>
      <c r="D2503" s="2">
        <v>1817</v>
      </c>
      <c r="E2503">
        <v>9230</v>
      </c>
      <c r="H2503" t="s">
        <v>1540</v>
      </c>
      <c r="I2503" s="2">
        <v>2255</v>
      </c>
      <c r="J2503" s="2">
        <v>0</v>
      </c>
      <c r="K2503" s="2" t="s">
        <v>874</v>
      </c>
      <c r="L2503" s="43" t="s">
        <v>5789</v>
      </c>
      <c r="P2503" s="41">
        <v>31</v>
      </c>
      <c r="Q2503" s="41">
        <v>12</v>
      </c>
      <c r="R2503" s="41">
        <v>63</v>
      </c>
      <c r="S2503" t="s">
        <v>3321</v>
      </c>
      <c r="AH2503" t="s">
        <v>359</v>
      </c>
    </row>
    <row r="2504" spans="1:34" ht="15.75">
      <c r="A2504" s="29">
        <f t="shared" si="39"/>
        <v>888</v>
      </c>
      <c r="B2504" s="2">
        <v>471</v>
      </c>
      <c r="C2504" s="2">
        <v>8</v>
      </c>
      <c r="D2504" s="2">
        <v>1817</v>
      </c>
      <c r="E2504">
        <v>9231</v>
      </c>
      <c r="H2504" t="s">
        <v>1541</v>
      </c>
      <c r="I2504" s="2">
        <v>888</v>
      </c>
      <c r="J2504" s="2">
        <v>0</v>
      </c>
      <c r="K2504" s="2" t="s">
        <v>874</v>
      </c>
      <c r="L2504" s="43" t="s">
        <v>5796</v>
      </c>
      <c r="P2504" s="41">
        <v>14</v>
      </c>
      <c r="Q2504" s="41">
        <v>8</v>
      </c>
      <c r="R2504" s="41">
        <v>46</v>
      </c>
      <c r="S2504" t="s">
        <v>3321</v>
      </c>
      <c r="AH2504" t="s">
        <v>359</v>
      </c>
    </row>
    <row r="2505" spans="1:34" ht="15.75">
      <c r="A2505" s="29">
        <f t="shared" si="39"/>
        <v>10670</v>
      </c>
      <c r="B2505" s="2">
        <v>471</v>
      </c>
      <c r="C2505" s="2">
        <v>8</v>
      </c>
      <c r="D2505" s="2">
        <v>1817</v>
      </c>
      <c r="E2505">
        <v>9232</v>
      </c>
      <c r="H2505" t="s">
        <v>1540</v>
      </c>
      <c r="I2505" s="2">
        <v>10670</v>
      </c>
      <c r="J2505" s="2">
        <v>0</v>
      </c>
      <c r="K2505" s="2" t="s">
        <v>874</v>
      </c>
      <c r="L2505" s="43" t="s">
        <v>5797</v>
      </c>
      <c r="P2505" s="41">
        <v>1</v>
      </c>
      <c r="Q2505" s="41">
        <v>4</v>
      </c>
      <c r="R2505" s="41">
        <v>61</v>
      </c>
      <c r="S2505" t="s">
        <v>3321</v>
      </c>
      <c r="AH2505" t="s">
        <v>359</v>
      </c>
    </row>
    <row r="2506" spans="1:34" ht="15.75">
      <c r="A2506" s="29">
        <f t="shared" si="39"/>
        <v>6632</v>
      </c>
      <c r="B2506" s="2">
        <v>472</v>
      </c>
      <c r="C2506" s="2">
        <v>8</v>
      </c>
      <c r="D2506" s="2">
        <v>1817</v>
      </c>
      <c r="E2506">
        <v>9234</v>
      </c>
      <c r="H2506" s="2" t="s">
        <v>1541</v>
      </c>
      <c r="I2506" s="2">
        <v>6632</v>
      </c>
      <c r="J2506" s="2">
        <v>0</v>
      </c>
      <c r="K2506" s="2" t="s">
        <v>874</v>
      </c>
      <c r="AH2506" t="s">
        <v>359</v>
      </c>
    </row>
    <row r="2507" spans="1:34" ht="15.75">
      <c r="A2507" s="29">
        <f t="shared" si="39"/>
        <v>35133</v>
      </c>
      <c r="B2507" s="2">
        <v>472</v>
      </c>
      <c r="C2507" s="2">
        <v>8</v>
      </c>
      <c r="D2507" s="2">
        <v>1817</v>
      </c>
      <c r="E2507">
        <v>9235</v>
      </c>
      <c r="H2507" s="2" t="s">
        <v>1541</v>
      </c>
      <c r="I2507" s="2">
        <v>35133</v>
      </c>
      <c r="J2507" s="2">
        <v>0</v>
      </c>
      <c r="K2507" s="2" t="s">
        <v>874</v>
      </c>
      <c r="L2507" s="43" t="s">
        <v>2652</v>
      </c>
      <c r="M2507" s="41" t="s">
        <v>1553</v>
      </c>
      <c r="O2507" s="41" t="s">
        <v>2653</v>
      </c>
      <c r="P2507" s="41">
        <v>23</v>
      </c>
      <c r="Q2507" s="41">
        <v>1</v>
      </c>
      <c r="R2507" s="41">
        <v>42</v>
      </c>
      <c r="S2507" t="s">
        <v>2654</v>
      </c>
      <c r="T2507" t="s">
        <v>2655</v>
      </c>
      <c r="V2507" t="s">
        <v>2231</v>
      </c>
      <c r="AH2507" t="s">
        <v>359</v>
      </c>
    </row>
    <row r="2508" spans="1:34" ht="15.75">
      <c r="A2508" s="29">
        <f t="shared" si="39"/>
        <v>324</v>
      </c>
      <c r="B2508" s="2">
        <v>472</v>
      </c>
      <c r="C2508" s="2">
        <v>8</v>
      </c>
      <c r="D2508" s="2">
        <v>1817</v>
      </c>
      <c r="E2508">
        <v>9236</v>
      </c>
      <c r="H2508" s="2" t="s">
        <v>1541</v>
      </c>
      <c r="I2508" s="2">
        <v>324</v>
      </c>
      <c r="J2508" s="2">
        <v>0</v>
      </c>
      <c r="K2508" s="2" t="s">
        <v>874</v>
      </c>
      <c r="AH2508" t="s">
        <v>359</v>
      </c>
    </row>
    <row r="2509" spans="1:34" ht="15.75">
      <c r="A2509" s="29">
        <f t="shared" si="39"/>
        <v>2369</v>
      </c>
      <c r="B2509" s="2">
        <v>472</v>
      </c>
      <c r="C2509" s="2">
        <v>8</v>
      </c>
      <c r="D2509" s="2">
        <v>1817</v>
      </c>
      <c r="E2509">
        <v>9239</v>
      </c>
      <c r="H2509" s="2" t="s">
        <v>1540</v>
      </c>
      <c r="I2509" s="2">
        <f>869+1500</f>
        <v>2369</v>
      </c>
      <c r="J2509" s="2">
        <v>0</v>
      </c>
      <c r="K2509" s="2" t="s">
        <v>874</v>
      </c>
      <c r="AH2509" t="s">
        <v>359</v>
      </c>
    </row>
    <row r="2510" spans="1:34" ht="15.75">
      <c r="A2510" s="29">
        <f t="shared" si="39"/>
        <v>11577</v>
      </c>
      <c r="B2510" s="2">
        <v>472</v>
      </c>
      <c r="C2510" s="2">
        <v>8</v>
      </c>
      <c r="D2510" s="2">
        <v>1817</v>
      </c>
      <c r="E2510">
        <v>9242</v>
      </c>
      <c r="H2510" t="s">
        <v>1541</v>
      </c>
      <c r="I2510" s="2">
        <v>11577</v>
      </c>
      <c r="J2510" s="2">
        <v>0</v>
      </c>
      <c r="K2510" s="2" t="s">
        <v>874</v>
      </c>
      <c r="AH2510" t="s">
        <v>359</v>
      </c>
    </row>
    <row r="2511" spans="1:34" ht="15.75">
      <c r="A2511" s="29">
        <f t="shared" si="39"/>
        <v>1107</v>
      </c>
      <c r="B2511" s="2">
        <v>472</v>
      </c>
      <c r="C2511" s="2">
        <v>8</v>
      </c>
      <c r="D2511" s="2">
        <v>1817</v>
      </c>
      <c r="E2511">
        <v>9244</v>
      </c>
      <c r="H2511" t="s">
        <v>1540</v>
      </c>
      <c r="I2511" s="2">
        <v>1107</v>
      </c>
      <c r="J2511" s="2">
        <v>0</v>
      </c>
      <c r="K2511" s="2" t="s">
        <v>874</v>
      </c>
      <c r="AH2511" t="s">
        <v>359</v>
      </c>
    </row>
    <row r="2512" spans="1:34" ht="15.75">
      <c r="A2512" s="29">
        <f t="shared" si="39"/>
        <v>92</v>
      </c>
      <c r="B2512" s="2">
        <v>472</v>
      </c>
      <c r="C2512" s="2">
        <v>8</v>
      </c>
      <c r="D2512" s="2">
        <v>1817</v>
      </c>
      <c r="E2512">
        <v>9248</v>
      </c>
      <c r="H2512" t="s">
        <v>1540</v>
      </c>
      <c r="I2512" s="2">
        <v>92</v>
      </c>
      <c r="J2512" s="2">
        <v>0</v>
      </c>
      <c r="K2512" s="2" t="s">
        <v>874</v>
      </c>
      <c r="AH2512" t="s">
        <v>359</v>
      </c>
    </row>
    <row r="2513" spans="1:34" ht="15.75">
      <c r="A2513" s="29">
        <f t="shared" si="39"/>
        <v>4034</v>
      </c>
      <c r="B2513" s="2">
        <v>472</v>
      </c>
      <c r="C2513" s="2">
        <v>8</v>
      </c>
      <c r="D2513" s="2">
        <v>1817</v>
      </c>
      <c r="E2513">
        <v>9249</v>
      </c>
      <c r="H2513" t="s">
        <v>1541</v>
      </c>
      <c r="I2513" s="2">
        <v>4034</v>
      </c>
      <c r="J2513" s="2">
        <v>0</v>
      </c>
      <c r="K2513" s="2" t="s">
        <v>874</v>
      </c>
      <c r="AH2513" t="s">
        <v>359</v>
      </c>
    </row>
    <row r="2514" spans="1:34" ht="15.75">
      <c r="A2514" s="29">
        <f t="shared" si="39"/>
        <v>268000</v>
      </c>
      <c r="B2514" s="2">
        <v>492</v>
      </c>
      <c r="C2514" s="2">
        <v>8</v>
      </c>
      <c r="D2514" s="2">
        <v>1817</v>
      </c>
      <c r="E2514">
        <v>9254</v>
      </c>
      <c r="H2514" t="s">
        <v>1549</v>
      </c>
      <c r="I2514" s="2">
        <v>0</v>
      </c>
      <c r="J2514" s="2">
        <v>26800</v>
      </c>
      <c r="K2514" s="2" t="s">
        <v>5022</v>
      </c>
      <c r="L2514" s="43" t="s">
        <v>2660</v>
      </c>
      <c r="M2514" s="41" t="s">
        <v>1698</v>
      </c>
      <c r="N2514" s="41" t="s">
        <v>2661</v>
      </c>
      <c r="O2514" s="41" t="s">
        <v>2662</v>
      </c>
      <c r="P2514" s="41">
        <v>16</v>
      </c>
      <c r="Q2514" s="41">
        <v>8</v>
      </c>
      <c r="R2514" s="41" t="s">
        <v>868</v>
      </c>
      <c r="S2514" t="s">
        <v>3324</v>
      </c>
      <c r="T2514" t="s">
        <v>969</v>
      </c>
      <c r="U2514" t="s">
        <v>2663</v>
      </c>
      <c r="V2514" t="s">
        <v>2664</v>
      </c>
      <c r="X2514">
        <v>0.5</v>
      </c>
      <c r="Y2514" t="s">
        <v>2665</v>
      </c>
      <c r="AH2514" t="s">
        <v>359</v>
      </c>
    </row>
    <row r="2515" spans="1:34" ht="15.75">
      <c r="A2515" s="29">
        <f t="shared" si="39"/>
        <v>85.25</v>
      </c>
      <c r="B2515" s="2">
        <v>492</v>
      </c>
      <c r="C2515" s="2">
        <v>8</v>
      </c>
      <c r="D2515" s="2">
        <v>1817</v>
      </c>
      <c r="E2515">
        <v>9255</v>
      </c>
      <c r="H2515" t="s">
        <v>1549</v>
      </c>
      <c r="I2515" s="2">
        <v>85.25</v>
      </c>
      <c r="J2515" s="2">
        <v>0</v>
      </c>
      <c r="K2515" s="2" t="s">
        <v>5022</v>
      </c>
      <c r="L2515" s="43" t="s">
        <v>5029</v>
      </c>
      <c r="P2515" s="41">
        <v>1</v>
      </c>
      <c r="Q2515" s="41">
        <v>8</v>
      </c>
      <c r="R2515" s="41">
        <v>33</v>
      </c>
      <c r="S2515" t="s">
        <v>3321</v>
      </c>
      <c r="AH2515" t="s">
        <v>359</v>
      </c>
    </row>
    <row r="2516" spans="1:34" ht="15.75">
      <c r="A2516" s="29">
        <f t="shared" si="39"/>
        <v>8290</v>
      </c>
      <c r="B2516" s="2">
        <v>492</v>
      </c>
      <c r="C2516" s="2">
        <v>8</v>
      </c>
      <c r="D2516" s="2">
        <v>1817</v>
      </c>
      <c r="E2516">
        <v>9256</v>
      </c>
      <c r="H2516" t="s">
        <v>850</v>
      </c>
      <c r="I2516" s="2">
        <v>8290</v>
      </c>
      <c r="J2516" s="2">
        <v>0</v>
      </c>
      <c r="K2516" s="2" t="s">
        <v>1277</v>
      </c>
      <c r="L2516" s="43" t="s">
        <v>3332</v>
      </c>
      <c r="P2516" s="41">
        <v>2</v>
      </c>
      <c r="Q2516" s="41">
        <v>6</v>
      </c>
      <c r="R2516" s="41">
        <v>75</v>
      </c>
      <c r="S2516" t="s">
        <v>3329</v>
      </c>
      <c r="AH2516" t="s">
        <v>359</v>
      </c>
    </row>
    <row r="2517" spans="1:34" ht="15.75">
      <c r="A2517" s="29">
        <f t="shared" si="39"/>
        <v>410</v>
      </c>
      <c r="B2517" s="2">
        <v>492</v>
      </c>
      <c r="C2517" s="2">
        <v>8</v>
      </c>
      <c r="D2517" s="2">
        <v>1817</v>
      </c>
      <c r="E2517">
        <v>9257</v>
      </c>
      <c r="H2517" t="s">
        <v>1549</v>
      </c>
      <c r="I2517" s="2">
        <v>410</v>
      </c>
      <c r="J2517" s="2">
        <v>0</v>
      </c>
      <c r="K2517" s="2" t="s">
        <v>1277</v>
      </c>
      <c r="L2517" s="43" t="s">
        <v>3332</v>
      </c>
      <c r="P2517" s="41">
        <v>18</v>
      </c>
      <c r="Q2517" s="41">
        <v>12</v>
      </c>
      <c r="R2517" s="41">
        <v>80</v>
      </c>
      <c r="S2517" t="s">
        <v>3321</v>
      </c>
      <c r="AH2517" t="s">
        <v>359</v>
      </c>
    </row>
    <row r="2518" spans="1:34" ht="15.75">
      <c r="A2518" s="29">
        <f t="shared" si="39"/>
        <v>10960.75</v>
      </c>
      <c r="B2518" s="2">
        <v>492</v>
      </c>
      <c r="C2518" s="2">
        <v>8</v>
      </c>
      <c r="D2518" s="2">
        <v>1817</v>
      </c>
      <c r="E2518">
        <v>9258</v>
      </c>
      <c r="H2518" t="s">
        <v>850</v>
      </c>
      <c r="I2518">
        <f>10902+58.75</f>
        <v>10960.75</v>
      </c>
      <c r="J2518" s="2">
        <v>0</v>
      </c>
      <c r="K2518" s="2" t="s">
        <v>1277</v>
      </c>
      <c r="L2518" s="43" t="s">
        <v>4793</v>
      </c>
      <c r="P2518" s="41">
        <v>3</v>
      </c>
      <c r="Q2518" s="41">
        <v>10</v>
      </c>
      <c r="R2518" s="41">
        <v>64</v>
      </c>
      <c r="S2518" t="s">
        <v>3329</v>
      </c>
      <c r="AH2518" t="s">
        <v>359</v>
      </c>
    </row>
    <row r="2519" spans="1:34" ht="15.75">
      <c r="A2519" s="29">
        <f t="shared" si="39"/>
        <v>1472</v>
      </c>
      <c r="B2519" s="2">
        <v>492</v>
      </c>
      <c r="C2519" s="2">
        <v>8</v>
      </c>
      <c r="D2519" s="2">
        <v>1817</v>
      </c>
      <c r="E2519">
        <v>9259</v>
      </c>
      <c r="H2519" t="s">
        <v>850</v>
      </c>
      <c r="I2519" s="2">
        <v>1472</v>
      </c>
      <c r="J2519" s="2">
        <v>0</v>
      </c>
      <c r="K2519" s="2" t="s">
        <v>1277</v>
      </c>
      <c r="L2519" s="43" t="s">
        <v>2710</v>
      </c>
      <c r="P2519" s="41">
        <v>4</v>
      </c>
      <c r="Q2519" s="41">
        <v>6</v>
      </c>
      <c r="R2519" s="41">
        <v>45</v>
      </c>
      <c r="S2519" t="s">
        <v>3343</v>
      </c>
      <c r="AH2519" t="s">
        <v>359</v>
      </c>
    </row>
    <row r="2520" spans="1:34" ht="15.75">
      <c r="A2520" s="29">
        <f t="shared" si="39"/>
        <v>3900</v>
      </c>
      <c r="B2520" s="2">
        <v>492</v>
      </c>
      <c r="C2520" s="2">
        <v>8</v>
      </c>
      <c r="D2520" s="2">
        <v>1817</v>
      </c>
      <c r="E2520">
        <v>9260</v>
      </c>
      <c r="H2520" t="s">
        <v>850</v>
      </c>
      <c r="I2520" s="2">
        <v>3900</v>
      </c>
      <c r="J2520" s="2">
        <v>0</v>
      </c>
      <c r="K2520" s="2" t="s">
        <v>1277</v>
      </c>
      <c r="L2520" s="43" t="s">
        <v>2710</v>
      </c>
      <c r="P2520" s="41">
        <v>22</v>
      </c>
      <c r="Q2520" s="41">
        <v>9</v>
      </c>
      <c r="R2520" s="41">
        <v>52</v>
      </c>
      <c r="S2520" t="s">
        <v>3321</v>
      </c>
      <c r="AH2520" t="s">
        <v>359</v>
      </c>
    </row>
    <row r="2521" spans="1:34" ht="15.75">
      <c r="A2521" s="29">
        <f t="shared" si="39"/>
        <v>246</v>
      </c>
      <c r="B2521" s="2">
        <v>492</v>
      </c>
      <c r="C2521" s="2">
        <v>8</v>
      </c>
      <c r="D2521" s="2">
        <v>1817</v>
      </c>
      <c r="E2521">
        <v>9261</v>
      </c>
      <c r="H2521" t="s">
        <v>1549</v>
      </c>
      <c r="I2521" s="2">
        <v>246</v>
      </c>
      <c r="J2521" s="2">
        <v>0</v>
      </c>
      <c r="K2521" s="2" t="s">
        <v>1277</v>
      </c>
      <c r="L2521" s="43" t="s">
        <v>3336</v>
      </c>
      <c r="P2521" s="41">
        <v>6</v>
      </c>
      <c r="Q2521" s="41">
        <v>2</v>
      </c>
      <c r="R2521" s="41">
        <v>70</v>
      </c>
      <c r="S2521" t="s">
        <v>3324</v>
      </c>
      <c r="AH2521" t="s">
        <v>359</v>
      </c>
    </row>
    <row r="2522" spans="1:34" ht="15.75">
      <c r="A2522" s="29">
        <f t="shared" si="39"/>
        <v>215834</v>
      </c>
      <c r="B2522" s="8">
        <v>726</v>
      </c>
      <c r="C2522" s="8">
        <v>3</v>
      </c>
      <c r="D2522" s="8">
        <v>1817</v>
      </c>
      <c r="E2522">
        <v>9263</v>
      </c>
      <c r="F2522" s="9"/>
      <c r="G2522" s="7"/>
      <c r="H2522" s="9" t="s">
        <v>1540</v>
      </c>
      <c r="I2522" s="8">
        <v>215834</v>
      </c>
      <c r="J2522" s="8">
        <v>0</v>
      </c>
      <c r="K2522" s="8" t="s">
        <v>862</v>
      </c>
      <c r="L2522" s="43" t="s">
        <v>2791</v>
      </c>
      <c r="M2522" s="41" t="s">
        <v>2792</v>
      </c>
      <c r="N2522" s="41" t="s">
        <v>2793</v>
      </c>
      <c r="O2522" s="41" t="s">
        <v>2794</v>
      </c>
      <c r="P2522" s="41">
        <v>2</v>
      </c>
      <c r="Q2522" s="41">
        <v>11</v>
      </c>
      <c r="R2522" s="41">
        <v>87</v>
      </c>
      <c r="S2522" t="s">
        <v>2795</v>
      </c>
      <c r="T2522" t="s">
        <v>2796</v>
      </c>
      <c r="V2522" t="s">
        <v>2797</v>
      </c>
      <c r="AH2522" t="s">
        <v>359</v>
      </c>
    </row>
    <row r="2523" spans="1:34" ht="15.75">
      <c r="A2523" s="29">
        <f t="shared" si="39"/>
        <v>98649</v>
      </c>
      <c r="B2523" s="2">
        <v>492</v>
      </c>
      <c r="C2523" s="2">
        <v>8</v>
      </c>
      <c r="D2523" s="2">
        <v>1817</v>
      </c>
      <c r="E2523">
        <v>9263</v>
      </c>
      <c r="H2523" t="s">
        <v>1549</v>
      </c>
      <c r="I2523" s="2">
        <v>98649</v>
      </c>
      <c r="J2523" s="2">
        <v>0</v>
      </c>
      <c r="K2523" s="2" t="s">
        <v>1277</v>
      </c>
      <c r="L2523" s="43" t="s">
        <v>2670</v>
      </c>
      <c r="M2523" s="41" t="s">
        <v>2671</v>
      </c>
      <c r="N2523" s="41" t="s">
        <v>2672</v>
      </c>
      <c r="O2523" s="41" t="s">
        <v>2673</v>
      </c>
      <c r="P2523" s="41">
        <v>28</v>
      </c>
      <c r="Q2523" s="41">
        <v>10</v>
      </c>
      <c r="R2523" s="41">
        <v>47</v>
      </c>
      <c r="S2523" t="s">
        <v>3343</v>
      </c>
      <c r="T2523" t="s">
        <v>959</v>
      </c>
      <c r="V2523" t="s">
        <v>2674</v>
      </c>
      <c r="AH2523" t="s">
        <v>359</v>
      </c>
    </row>
    <row r="2524" spans="1:34" ht="15.75">
      <c r="A2524" s="29">
        <f t="shared" si="39"/>
        <v>76</v>
      </c>
      <c r="B2524" s="2">
        <v>726</v>
      </c>
      <c r="C2524" s="2">
        <v>3</v>
      </c>
      <c r="D2524" s="2">
        <v>1817</v>
      </c>
      <c r="E2524">
        <v>9264</v>
      </c>
      <c r="G2524" s="1"/>
      <c r="H2524" t="s">
        <v>1540</v>
      </c>
      <c r="I2524" s="2">
        <v>76</v>
      </c>
      <c r="J2524" s="2">
        <v>0</v>
      </c>
      <c r="K2524" s="8" t="s">
        <v>862</v>
      </c>
      <c r="L2524" s="43" t="s">
        <v>917</v>
      </c>
      <c r="P2524" s="41">
        <v>30</v>
      </c>
      <c r="Q2524" s="41">
        <v>4</v>
      </c>
      <c r="R2524" s="41" t="s">
        <v>868</v>
      </c>
      <c r="S2524" t="s">
        <v>3321</v>
      </c>
      <c r="AH2524" t="s">
        <v>359</v>
      </c>
    </row>
    <row r="2525" spans="1:34" ht="15.75">
      <c r="A2525" s="29">
        <f t="shared" si="39"/>
        <v>3677</v>
      </c>
      <c r="B2525" s="2">
        <v>726</v>
      </c>
      <c r="C2525" s="2">
        <v>3</v>
      </c>
      <c r="D2525" s="2">
        <v>1817</v>
      </c>
      <c r="E2525">
        <v>9265</v>
      </c>
      <c r="G2525" s="1"/>
      <c r="H2525" t="s">
        <v>1540</v>
      </c>
      <c r="I2525" s="2">
        <v>3677</v>
      </c>
      <c r="J2525" s="2">
        <v>0</v>
      </c>
      <c r="K2525" s="8" t="s">
        <v>862</v>
      </c>
      <c r="L2525" s="43" t="s">
        <v>976</v>
      </c>
      <c r="P2525" s="41">
        <v>19</v>
      </c>
      <c r="Q2525" s="41">
        <v>12</v>
      </c>
      <c r="R2525" s="41" t="s">
        <v>868</v>
      </c>
      <c r="S2525" t="s">
        <v>3321</v>
      </c>
      <c r="AH2525" t="s">
        <v>359</v>
      </c>
    </row>
    <row r="2526" spans="1:34" ht="15.75">
      <c r="A2526" s="29">
        <f t="shared" si="39"/>
        <v>862</v>
      </c>
      <c r="B2526" s="2">
        <v>726</v>
      </c>
      <c r="C2526" s="2">
        <v>3</v>
      </c>
      <c r="D2526" s="2">
        <v>1817</v>
      </c>
      <c r="E2526">
        <v>9266</v>
      </c>
      <c r="G2526" s="1"/>
      <c r="H2526" t="s">
        <v>1541</v>
      </c>
      <c r="I2526" s="2">
        <v>862</v>
      </c>
      <c r="J2526" s="2">
        <v>0</v>
      </c>
      <c r="K2526" s="8" t="s">
        <v>862</v>
      </c>
      <c r="L2526" s="43" t="s">
        <v>1362</v>
      </c>
      <c r="P2526" s="41">
        <v>19</v>
      </c>
      <c r="Q2526" s="41">
        <v>4</v>
      </c>
      <c r="R2526" s="41">
        <v>35</v>
      </c>
      <c r="S2526" t="s">
        <v>3321</v>
      </c>
      <c r="AH2526" t="s">
        <v>359</v>
      </c>
    </row>
    <row r="2527" spans="1:34" ht="15.75">
      <c r="A2527" s="29">
        <f t="shared" si="39"/>
        <v>15225</v>
      </c>
      <c r="B2527" s="2">
        <v>726</v>
      </c>
      <c r="C2527" s="2">
        <v>3</v>
      </c>
      <c r="D2527" s="2">
        <v>1817</v>
      </c>
      <c r="E2527">
        <v>9267</v>
      </c>
      <c r="G2527" s="1"/>
      <c r="H2527" t="s">
        <v>1541</v>
      </c>
      <c r="I2527" s="2">
        <v>15225</v>
      </c>
      <c r="J2527" s="2">
        <v>0</v>
      </c>
      <c r="K2527" s="8" t="s">
        <v>862</v>
      </c>
      <c r="L2527" s="43" t="s">
        <v>1362</v>
      </c>
      <c r="P2527" s="41">
        <v>3</v>
      </c>
      <c r="Q2527" s="41">
        <v>7</v>
      </c>
      <c r="R2527" s="41">
        <v>34</v>
      </c>
      <c r="S2527" t="s">
        <v>3321</v>
      </c>
      <c r="AH2527" t="s">
        <v>359</v>
      </c>
    </row>
    <row r="2528" spans="1:34" ht="15.75">
      <c r="A2528" s="29">
        <f t="shared" si="39"/>
        <v>9896</v>
      </c>
      <c r="B2528" s="2">
        <v>726</v>
      </c>
      <c r="C2528" s="2">
        <v>3</v>
      </c>
      <c r="D2528" s="2">
        <v>1817</v>
      </c>
      <c r="E2528">
        <v>9268</v>
      </c>
      <c r="G2528" s="1"/>
      <c r="H2528" t="s">
        <v>1540</v>
      </c>
      <c r="I2528" s="2">
        <v>9896</v>
      </c>
      <c r="J2528" s="2">
        <v>0</v>
      </c>
      <c r="K2528" s="8" t="s">
        <v>862</v>
      </c>
      <c r="L2528" s="43" t="s">
        <v>3893</v>
      </c>
      <c r="P2528" s="41">
        <v>3</v>
      </c>
      <c r="Q2528" s="41">
        <v>1</v>
      </c>
      <c r="R2528" s="41">
        <v>88</v>
      </c>
      <c r="S2528" t="s">
        <v>3321</v>
      </c>
      <c r="AH2528" t="s">
        <v>359</v>
      </c>
    </row>
    <row r="2529" spans="1:34" ht="15.75">
      <c r="A2529" s="29">
        <f t="shared" si="39"/>
        <v>1790</v>
      </c>
      <c r="B2529" s="2">
        <v>726</v>
      </c>
      <c r="C2529" s="2">
        <v>3</v>
      </c>
      <c r="D2529" s="2">
        <v>1817</v>
      </c>
      <c r="E2529">
        <v>9269</v>
      </c>
      <c r="G2529" s="1"/>
      <c r="H2529" t="s">
        <v>1541</v>
      </c>
      <c r="I2529" s="2">
        <v>1790</v>
      </c>
      <c r="J2529" s="2">
        <v>0</v>
      </c>
      <c r="K2529" s="8" t="s">
        <v>862</v>
      </c>
      <c r="L2529" s="43" t="s">
        <v>2798</v>
      </c>
      <c r="P2529" s="41">
        <v>26</v>
      </c>
      <c r="Q2529" s="41">
        <v>4</v>
      </c>
      <c r="R2529" s="41" t="s">
        <v>868</v>
      </c>
      <c r="S2529" t="s">
        <v>3321</v>
      </c>
      <c r="AH2529" t="s">
        <v>359</v>
      </c>
    </row>
    <row r="2530" spans="1:34" ht="15.75">
      <c r="A2530" s="39">
        <v>0</v>
      </c>
      <c r="B2530" s="2">
        <v>727</v>
      </c>
      <c r="C2530" s="2">
        <v>3</v>
      </c>
      <c r="D2530" s="2">
        <v>1817</v>
      </c>
      <c r="E2530">
        <v>9270</v>
      </c>
      <c r="G2530" s="1"/>
      <c r="H2530" t="s">
        <v>1541</v>
      </c>
      <c r="I2530" s="2">
        <v>117</v>
      </c>
      <c r="J2530" s="2">
        <v>0</v>
      </c>
      <c r="K2530" s="8" t="s">
        <v>862</v>
      </c>
      <c r="L2530" s="43" t="s">
        <v>979</v>
      </c>
      <c r="P2530" s="41">
        <v>24</v>
      </c>
      <c r="Q2530" s="41">
        <v>10</v>
      </c>
      <c r="R2530" s="41" t="s">
        <v>868</v>
      </c>
      <c r="S2530" t="s">
        <v>3329</v>
      </c>
      <c r="AH2530" t="s">
        <v>359</v>
      </c>
    </row>
    <row r="2531" spans="1:34" ht="15.75">
      <c r="A2531" s="29">
        <f aca="true" t="shared" si="40" ref="A2531:A2562">I2531+J2531*20*X2531</f>
        <v>1437</v>
      </c>
      <c r="B2531" s="2">
        <v>727</v>
      </c>
      <c r="C2531" s="2">
        <v>3</v>
      </c>
      <c r="D2531" s="2">
        <v>1817</v>
      </c>
      <c r="E2531">
        <v>9271</v>
      </c>
      <c r="G2531" s="1"/>
      <c r="H2531" t="s">
        <v>1540</v>
      </c>
      <c r="I2531" s="2">
        <v>1437</v>
      </c>
      <c r="J2531" s="2">
        <v>0</v>
      </c>
      <c r="K2531" s="8" t="s">
        <v>862</v>
      </c>
      <c r="L2531" s="43" t="s">
        <v>3895</v>
      </c>
      <c r="P2531" s="41">
        <v>8</v>
      </c>
      <c r="Q2531" s="41">
        <v>3</v>
      </c>
      <c r="R2531" s="41">
        <v>76</v>
      </c>
      <c r="S2531" t="s">
        <v>3321</v>
      </c>
      <c r="AH2531" t="s">
        <v>359</v>
      </c>
    </row>
    <row r="2532" spans="1:34" ht="15.75">
      <c r="A2532" s="29">
        <f t="shared" si="40"/>
        <v>115614</v>
      </c>
      <c r="B2532" s="8">
        <v>727</v>
      </c>
      <c r="C2532" s="8">
        <v>3</v>
      </c>
      <c r="D2532" s="8">
        <v>1817</v>
      </c>
      <c r="E2532">
        <v>9272</v>
      </c>
      <c r="F2532" s="9"/>
      <c r="G2532" s="7"/>
      <c r="H2532" s="9" t="s">
        <v>1541</v>
      </c>
      <c r="I2532" s="8">
        <v>53614</v>
      </c>
      <c r="J2532" s="8">
        <v>3100</v>
      </c>
      <c r="K2532" s="8" t="s">
        <v>862</v>
      </c>
      <c r="L2532" s="43" t="s">
        <v>2799</v>
      </c>
      <c r="M2532" s="41" t="s">
        <v>2800</v>
      </c>
      <c r="O2532" s="41" t="s">
        <v>2801</v>
      </c>
      <c r="P2532" s="41">
        <v>7</v>
      </c>
      <c r="Q2532" s="41">
        <v>5</v>
      </c>
      <c r="R2532" s="41">
        <v>61</v>
      </c>
      <c r="S2532" t="s">
        <v>2802</v>
      </c>
      <c r="T2532" t="s">
        <v>2803</v>
      </c>
      <c r="V2532" t="s">
        <v>5636</v>
      </c>
      <c r="X2532">
        <v>1</v>
      </c>
      <c r="Y2532" t="s">
        <v>2804</v>
      </c>
      <c r="AH2532" t="s">
        <v>359</v>
      </c>
    </row>
    <row r="2533" spans="1:34" ht="15.75">
      <c r="A2533" s="29">
        <f t="shared" si="40"/>
        <v>29028</v>
      </c>
      <c r="B2533" s="8">
        <v>727</v>
      </c>
      <c r="C2533" s="8">
        <v>3</v>
      </c>
      <c r="D2533" s="8">
        <v>1817</v>
      </c>
      <c r="E2533">
        <v>9273</v>
      </c>
      <c r="F2533" s="9"/>
      <c r="G2533" s="7"/>
      <c r="H2533" s="9" t="s">
        <v>1541</v>
      </c>
      <c r="I2533" s="8">
        <v>1028</v>
      </c>
      <c r="J2533" s="8">
        <v>1400</v>
      </c>
      <c r="K2533" s="8" t="s">
        <v>862</v>
      </c>
      <c r="L2533" s="43" t="s">
        <v>2805</v>
      </c>
      <c r="M2533" s="43" t="s">
        <v>2806</v>
      </c>
      <c r="N2533" s="43" t="s">
        <v>1555</v>
      </c>
      <c r="O2533" s="41" t="s">
        <v>2807</v>
      </c>
      <c r="P2533" s="43">
        <v>7</v>
      </c>
      <c r="Q2533" s="43">
        <v>5</v>
      </c>
      <c r="R2533" s="43">
        <v>66</v>
      </c>
      <c r="S2533" s="9" t="s">
        <v>2808</v>
      </c>
      <c r="T2533" s="9" t="s">
        <v>4480</v>
      </c>
      <c r="U2533" s="9"/>
      <c r="V2533" s="9" t="s">
        <v>2720</v>
      </c>
      <c r="W2533" s="9"/>
      <c r="X2533" s="9">
        <v>1</v>
      </c>
      <c r="Y2533" t="s">
        <v>2807</v>
      </c>
      <c r="AH2533" t="s">
        <v>359</v>
      </c>
    </row>
    <row r="2534" spans="1:34" ht="15.75">
      <c r="A2534" s="29">
        <f t="shared" si="40"/>
        <v>169</v>
      </c>
      <c r="B2534" s="8">
        <v>727</v>
      </c>
      <c r="C2534" s="8">
        <v>3</v>
      </c>
      <c r="D2534" s="8">
        <v>1817</v>
      </c>
      <c r="E2534">
        <v>9274</v>
      </c>
      <c r="F2534" s="9"/>
      <c r="G2534" s="7"/>
      <c r="H2534" s="9" t="s">
        <v>1540</v>
      </c>
      <c r="I2534" s="8">
        <v>169</v>
      </c>
      <c r="J2534" s="8">
        <v>0</v>
      </c>
      <c r="K2534" s="8" t="s">
        <v>862</v>
      </c>
      <c r="L2534" s="43" t="s">
        <v>2340</v>
      </c>
      <c r="P2534" s="43">
        <v>9</v>
      </c>
      <c r="Q2534" s="43">
        <v>9</v>
      </c>
      <c r="R2534" s="43">
        <v>22</v>
      </c>
      <c r="S2534" t="s">
        <v>3321</v>
      </c>
      <c r="AH2534" t="s">
        <v>359</v>
      </c>
    </row>
    <row r="2535" spans="1:34" ht="15.75">
      <c r="A2535" s="29">
        <f t="shared" si="40"/>
        <v>47</v>
      </c>
      <c r="B2535" s="2">
        <v>727</v>
      </c>
      <c r="C2535" s="2">
        <v>3</v>
      </c>
      <c r="D2535" s="2">
        <v>1817</v>
      </c>
      <c r="E2535">
        <v>9276</v>
      </c>
      <c r="G2535" s="1"/>
      <c r="H2535" t="s">
        <v>1541</v>
      </c>
      <c r="I2535" s="2">
        <v>47</v>
      </c>
      <c r="J2535" s="2">
        <v>0</v>
      </c>
      <c r="K2535" s="8" t="s">
        <v>862</v>
      </c>
      <c r="L2535" s="43" t="s">
        <v>980</v>
      </c>
      <c r="P2535" s="41">
        <v>5</v>
      </c>
      <c r="Q2535" s="41">
        <v>10</v>
      </c>
      <c r="R2535" s="41" t="s">
        <v>868</v>
      </c>
      <c r="S2535" t="s">
        <v>3329</v>
      </c>
      <c r="AH2535" t="s">
        <v>359</v>
      </c>
    </row>
    <row r="2536" spans="1:34" ht="15.75">
      <c r="A2536" s="29">
        <f t="shared" si="40"/>
        <v>7015</v>
      </c>
      <c r="B2536" s="2">
        <v>728</v>
      </c>
      <c r="C2536" s="2">
        <v>3</v>
      </c>
      <c r="D2536" s="2">
        <v>1817</v>
      </c>
      <c r="E2536">
        <v>9277</v>
      </c>
      <c r="G2536" s="1"/>
      <c r="H2536" t="s">
        <v>1541</v>
      </c>
      <c r="I2536" s="2">
        <v>7015</v>
      </c>
      <c r="J2536" s="2">
        <v>0</v>
      </c>
      <c r="K2536" s="2" t="s">
        <v>862</v>
      </c>
      <c r="L2536" s="43" t="s">
        <v>957</v>
      </c>
      <c r="P2536" s="41">
        <v>20</v>
      </c>
      <c r="Q2536" s="41">
        <v>2</v>
      </c>
      <c r="R2536" s="41">
        <v>21</v>
      </c>
      <c r="S2536" t="s">
        <v>3321</v>
      </c>
      <c r="AH2536" t="s">
        <v>359</v>
      </c>
    </row>
    <row r="2537" spans="1:34" ht="15.75">
      <c r="A2537" s="29">
        <f t="shared" si="40"/>
        <v>2000</v>
      </c>
      <c r="B2537" s="2">
        <v>728</v>
      </c>
      <c r="C2537" s="2">
        <v>3</v>
      </c>
      <c r="D2537" s="2">
        <v>1817</v>
      </c>
      <c r="E2537">
        <v>9278</v>
      </c>
      <c r="G2537" s="1"/>
      <c r="H2537" t="s">
        <v>1549</v>
      </c>
      <c r="I2537" s="2">
        <v>2000</v>
      </c>
      <c r="J2537" s="2">
        <v>0</v>
      </c>
      <c r="K2537" s="2" t="s">
        <v>863</v>
      </c>
      <c r="L2537" s="43" t="s">
        <v>982</v>
      </c>
      <c r="P2537" s="41">
        <v>26</v>
      </c>
      <c r="Q2537" s="41">
        <v>7</v>
      </c>
      <c r="R2537" s="41">
        <v>58</v>
      </c>
      <c r="S2537" t="s">
        <v>3321</v>
      </c>
      <c r="AH2537" t="s">
        <v>359</v>
      </c>
    </row>
    <row r="2538" spans="1:34" ht="15.75">
      <c r="A2538" s="29">
        <f t="shared" si="40"/>
        <v>69</v>
      </c>
      <c r="B2538" s="2">
        <v>728</v>
      </c>
      <c r="C2538" s="2">
        <v>3</v>
      </c>
      <c r="D2538" s="2">
        <v>1817</v>
      </c>
      <c r="E2538">
        <v>9279</v>
      </c>
      <c r="G2538" s="1"/>
      <c r="H2538" t="s">
        <v>1540</v>
      </c>
      <c r="I2538" s="2">
        <v>69</v>
      </c>
      <c r="J2538" s="2">
        <v>0</v>
      </c>
      <c r="K2538" s="2" t="s">
        <v>863</v>
      </c>
      <c r="L2538" s="43" t="s">
        <v>2814</v>
      </c>
      <c r="P2538" s="41">
        <v>24</v>
      </c>
      <c r="Q2538" s="41">
        <v>6</v>
      </c>
      <c r="R2538" s="41">
        <v>63</v>
      </c>
      <c r="S2538" t="s">
        <v>3321</v>
      </c>
      <c r="AH2538" t="s">
        <v>359</v>
      </c>
    </row>
    <row r="2539" spans="1:34" ht="15.75">
      <c r="A2539" s="29">
        <f t="shared" si="40"/>
        <v>28125</v>
      </c>
      <c r="B2539" s="8">
        <v>728</v>
      </c>
      <c r="C2539" s="8">
        <v>3</v>
      </c>
      <c r="D2539" s="8">
        <v>1817</v>
      </c>
      <c r="E2539">
        <v>9281</v>
      </c>
      <c r="F2539" s="9"/>
      <c r="G2539" s="7"/>
      <c r="H2539" s="9" t="s">
        <v>1540</v>
      </c>
      <c r="I2539" s="8">
        <v>16125</v>
      </c>
      <c r="J2539" s="8">
        <v>600</v>
      </c>
      <c r="K2539" s="2" t="s">
        <v>863</v>
      </c>
      <c r="L2539" s="43" t="s">
        <v>4315</v>
      </c>
      <c r="M2539" s="43" t="s">
        <v>1252</v>
      </c>
      <c r="N2539" s="43" t="s">
        <v>1545</v>
      </c>
      <c r="O2539" s="43" t="s">
        <v>2818</v>
      </c>
      <c r="P2539" s="43">
        <v>24</v>
      </c>
      <c r="Q2539" s="43">
        <v>4</v>
      </c>
      <c r="R2539" s="43">
        <v>72</v>
      </c>
      <c r="S2539" s="9" t="s">
        <v>2819</v>
      </c>
      <c r="T2539" s="9" t="s">
        <v>2820</v>
      </c>
      <c r="U2539" s="9"/>
      <c r="V2539" s="9" t="s">
        <v>2821</v>
      </c>
      <c r="W2539" s="9"/>
      <c r="X2539" s="9">
        <v>1</v>
      </c>
      <c r="Y2539" t="s">
        <v>2822</v>
      </c>
      <c r="AH2539" t="s">
        <v>359</v>
      </c>
    </row>
    <row r="2540" spans="1:34" ht="15.75">
      <c r="A2540" s="29">
        <f t="shared" si="40"/>
        <v>704</v>
      </c>
      <c r="B2540" s="2">
        <v>728</v>
      </c>
      <c r="C2540" s="2">
        <v>3</v>
      </c>
      <c r="D2540" s="2">
        <v>1817</v>
      </c>
      <c r="E2540">
        <v>9282</v>
      </c>
      <c r="G2540" s="1"/>
      <c r="H2540" t="s">
        <v>1541</v>
      </c>
      <c r="I2540" s="2">
        <f>333+371</f>
        <v>704</v>
      </c>
      <c r="J2540" s="2">
        <v>0</v>
      </c>
      <c r="K2540" s="2" t="s">
        <v>863</v>
      </c>
      <c r="L2540" s="43" t="s">
        <v>2823</v>
      </c>
      <c r="P2540" s="43">
        <v>15</v>
      </c>
      <c r="Q2540" s="43">
        <v>12</v>
      </c>
      <c r="R2540" s="41" t="s">
        <v>868</v>
      </c>
      <c r="S2540" t="s">
        <v>3321</v>
      </c>
      <c r="AH2540" t="s">
        <v>359</v>
      </c>
    </row>
    <row r="2541" spans="1:34" ht="15.75">
      <c r="A2541" s="29">
        <f t="shared" si="40"/>
        <v>6828</v>
      </c>
      <c r="B2541" s="2">
        <v>729</v>
      </c>
      <c r="C2541" s="2">
        <v>3</v>
      </c>
      <c r="D2541" s="2">
        <v>1817</v>
      </c>
      <c r="E2541">
        <v>9283</v>
      </c>
      <c r="H2541" s="2" t="s">
        <v>850</v>
      </c>
      <c r="I2541" s="2">
        <v>6828</v>
      </c>
      <c r="J2541" s="2">
        <v>0</v>
      </c>
      <c r="K2541" s="2" t="s">
        <v>863</v>
      </c>
      <c r="L2541" s="43" t="s">
        <v>986</v>
      </c>
      <c r="P2541" s="41">
        <v>18</v>
      </c>
      <c r="Q2541" s="41">
        <v>6</v>
      </c>
      <c r="R2541" s="41">
        <v>76</v>
      </c>
      <c r="S2541" t="s">
        <v>3329</v>
      </c>
      <c r="AH2541" t="s">
        <v>359</v>
      </c>
    </row>
    <row r="2542" spans="1:34" ht="15.75">
      <c r="A2542" s="29">
        <f t="shared" si="40"/>
        <v>26</v>
      </c>
      <c r="B2542" s="2">
        <v>729</v>
      </c>
      <c r="C2542" s="2">
        <v>3</v>
      </c>
      <c r="D2542" s="2">
        <v>1817</v>
      </c>
      <c r="E2542">
        <v>9284</v>
      </c>
      <c r="H2542" s="2" t="s">
        <v>1549</v>
      </c>
      <c r="I2542" s="2">
        <v>26</v>
      </c>
      <c r="J2542" s="2">
        <v>0</v>
      </c>
      <c r="K2542" s="2" t="s">
        <v>863</v>
      </c>
      <c r="L2542" s="43" t="s">
        <v>987</v>
      </c>
      <c r="P2542" s="41">
        <v>27</v>
      </c>
      <c r="Q2542" s="41">
        <v>3</v>
      </c>
      <c r="R2542" s="41">
        <v>60</v>
      </c>
      <c r="S2542" t="s">
        <v>3321</v>
      </c>
      <c r="AH2542" t="s">
        <v>359</v>
      </c>
    </row>
    <row r="2543" spans="1:34" ht="15.75">
      <c r="A2543" s="29">
        <f t="shared" si="40"/>
        <v>6146</v>
      </c>
      <c r="B2543" s="2">
        <v>729</v>
      </c>
      <c r="C2543" s="2">
        <v>3</v>
      </c>
      <c r="D2543" s="2">
        <v>1817</v>
      </c>
      <c r="E2543">
        <v>9285</v>
      </c>
      <c r="H2543" s="2" t="s">
        <v>1549</v>
      </c>
      <c r="I2543" s="2">
        <v>6146</v>
      </c>
      <c r="J2543" s="2">
        <v>0</v>
      </c>
      <c r="K2543" s="2" t="s">
        <v>863</v>
      </c>
      <c r="L2543" s="43" t="s">
        <v>987</v>
      </c>
      <c r="P2543" s="41">
        <v>29</v>
      </c>
      <c r="Q2543" s="41">
        <v>7</v>
      </c>
      <c r="R2543" s="41" t="s">
        <v>868</v>
      </c>
      <c r="S2543" t="s">
        <v>3321</v>
      </c>
      <c r="AH2543" t="s">
        <v>359</v>
      </c>
    </row>
    <row r="2544" spans="1:34" ht="15.75">
      <c r="A2544" s="29">
        <f t="shared" si="40"/>
        <v>1823</v>
      </c>
      <c r="B2544" s="2">
        <v>729</v>
      </c>
      <c r="C2544" s="2">
        <v>3</v>
      </c>
      <c r="D2544" s="2">
        <v>1817</v>
      </c>
      <c r="E2544">
        <v>9286</v>
      </c>
      <c r="H2544" s="2" t="s">
        <v>850</v>
      </c>
      <c r="I2544" s="2">
        <v>1823</v>
      </c>
      <c r="J2544" s="2">
        <v>0</v>
      </c>
      <c r="K2544" s="2" t="s">
        <v>863</v>
      </c>
      <c r="L2544" s="43" t="s">
        <v>989</v>
      </c>
      <c r="P2544" s="41">
        <v>3</v>
      </c>
      <c r="Q2544" s="41">
        <v>8</v>
      </c>
      <c r="R2544" s="41">
        <v>38</v>
      </c>
      <c r="S2544" t="s">
        <v>3321</v>
      </c>
      <c r="AH2544" t="s">
        <v>359</v>
      </c>
    </row>
    <row r="2545" spans="1:34" ht="15.75">
      <c r="A2545" s="29">
        <f t="shared" si="40"/>
        <v>62608</v>
      </c>
      <c r="B2545" s="2">
        <v>729</v>
      </c>
      <c r="C2545" s="2">
        <v>3</v>
      </c>
      <c r="D2545" s="2">
        <v>1817</v>
      </c>
      <c r="E2545">
        <v>9287</v>
      </c>
      <c r="H2545" s="2" t="s">
        <v>850</v>
      </c>
      <c r="I2545" s="2">
        <f>41003+1587+20018</f>
        <v>62608</v>
      </c>
      <c r="J2545" s="2">
        <v>0</v>
      </c>
      <c r="K2545" s="2" t="s">
        <v>863</v>
      </c>
      <c r="L2545" s="43" t="s">
        <v>2831</v>
      </c>
      <c r="M2545" s="41" t="s">
        <v>2832</v>
      </c>
      <c r="N2545" s="41" t="s">
        <v>898</v>
      </c>
      <c r="O2545" s="41" t="s">
        <v>2833</v>
      </c>
      <c r="P2545" s="41">
        <v>30</v>
      </c>
      <c r="Q2545" s="41">
        <v>6</v>
      </c>
      <c r="R2545" s="41">
        <v>75</v>
      </c>
      <c r="S2545" t="s">
        <v>2834</v>
      </c>
      <c r="T2545" t="s">
        <v>2835</v>
      </c>
      <c r="V2545" t="s">
        <v>899</v>
      </c>
      <c r="AA2545" t="s">
        <v>2836</v>
      </c>
      <c r="AH2545" t="s">
        <v>359</v>
      </c>
    </row>
    <row r="2546" spans="1:34" ht="15.75">
      <c r="A2546" s="29">
        <f t="shared" si="40"/>
        <v>18252</v>
      </c>
      <c r="B2546" s="8">
        <v>729</v>
      </c>
      <c r="C2546" s="2">
        <v>3</v>
      </c>
      <c r="D2546" s="8">
        <v>1817</v>
      </c>
      <c r="E2546">
        <v>9288</v>
      </c>
      <c r="F2546" s="9"/>
      <c r="G2546" s="9"/>
      <c r="H2546" s="8" t="s">
        <v>1549</v>
      </c>
      <c r="I2546" s="8">
        <v>2252</v>
      </c>
      <c r="J2546" s="8">
        <v>1600</v>
      </c>
      <c r="K2546" s="2" t="s">
        <v>863</v>
      </c>
      <c r="L2546" s="43" t="s">
        <v>2837</v>
      </c>
      <c r="M2546" s="43" t="s">
        <v>2838</v>
      </c>
      <c r="N2546" s="43" t="s">
        <v>1545</v>
      </c>
      <c r="O2546" s="43" t="s">
        <v>2839</v>
      </c>
      <c r="P2546" s="41">
        <v>8</v>
      </c>
      <c r="Q2546" s="41">
        <v>12</v>
      </c>
      <c r="R2546" s="41">
        <v>86</v>
      </c>
      <c r="S2546" t="s">
        <v>2840</v>
      </c>
      <c r="T2546" t="s">
        <v>2841</v>
      </c>
      <c r="V2546" t="s">
        <v>2842</v>
      </c>
      <c r="X2546">
        <v>0.5</v>
      </c>
      <c r="Y2546" t="s">
        <v>2843</v>
      </c>
      <c r="AH2546" t="s">
        <v>359</v>
      </c>
    </row>
    <row r="2547" spans="1:34" ht="15.75">
      <c r="A2547" s="29">
        <f t="shared" si="40"/>
        <v>273</v>
      </c>
      <c r="B2547" s="2">
        <v>729</v>
      </c>
      <c r="C2547" s="2">
        <v>3</v>
      </c>
      <c r="D2547" s="2">
        <v>1817</v>
      </c>
      <c r="E2547">
        <v>9289</v>
      </c>
      <c r="H2547" s="2" t="s">
        <v>850</v>
      </c>
      <c r="I2547" s="2">
        <v>273</v>
      </c>
      <c r="J2547" s="2">
        <v>0</v>
      </c>
      <c r="K2547" s="2" t="s">
        <v>863</v>
      </c>
      <c r="L2547" s="43" t="s">
        <v>4184</v>
      </c>
      <c r="P2547" s="41">
        <v>17</v>
      </c>
      <c r="Q2547" s="41">
        <v>12</v>
      </c>
      <c r="R2547" s="41">
        <v>73</v>
      </c>
      <c r="S2547" t="s">
        <v>3321</v>
      </c>
      <c r="AH2547" t="s">
        <v>359</v>
      </c>
    </row>
    <row r="2548" spans="1:34" ht="15.75">
      <c r="A2548" s="29">
        <f t="shared" si="40"/>
        <v>43</v>
      </c>
      <c r="B2548" s="2">
        <v>729</v>
      </c>
      <c r="C2548" s="2">
        <v>3</v>
      </c>
      <c r="D2548" s="2">
        <v>1817</v>
      </c>
      <c r="E2548">
        <v>9290</v>
      </c>
      <c r="H2548" s="2" t="s">
        <v>850</v>
      </c>
      <c r="I2548" s="2">
        <v>43</v>
      </c>
      <c r="J2548" s="2">
        <v>0</v>
      </c>
      <c r="K2548" s="2" t="s">
        <v>863</v>
      </c>
      <c r="L2548" s="43" t="s">
        <v>4184</v>
      </c>
      <c r="P2548" s="41">
        <v>17</v>
      </c>
      <c r="Q2548" s="41">
        <v>6</v>
      </c>
      <c r="R2548" s="41">
        <v>70</v>
      </c>
      <c r="S2548" t="s">
        <v>3343</v>
      </c>
      <c r="AH2548" t="s">
        <v>359</v>
      </c>
    </row>
    <row r="2549" spans="1:34" ht="15.75">
      <c r="A2549" s="29">
        <f t="shared" si="40"/>
        <v>537</v>
      </c>
      <c r="B2549" s="2">
        <v>729</v>
      </c>
      <c r="C2549" s="2">
        <v>3</v>
      </c>
      <c r="D2549" s="2">
        <v>1817</v>
      </c>
      <c r="E2549">
        <v>9291</v>
      </c>
      <c r="H2549" s="2" t="s">
        <v>850</v>
      </c>
      <c r="I2549" s="2">
        <v>537</v>
      </c>
      <c r="J2549" s="2">
        <v>0</v>
      </c>
      <c r="K2549" s="2" t="s">
        <v>863</v>
      </c>
      <c r="L2549" s="43" t="s">
        <v>4945</v>
      </c>
      <c r="O2549" s="46"/>
      <c r="P2549" s="41">
        <v>25</v>
      </c>
      <c r="Q2549" s="41">
        <v>12</v>
      </c>
      <c r="R2549" s="41" t="s">
        <v>868</v>
      </c>
      <c r="S2549" t="s">
        <v>3343</v>
      </c>
      <c r="AH2549" t="s">
        <v>359</v>
      </c>
    </row>
    <row r="2550" spans="1:34" ht="15.75">
      <c r="A2550" s="29">
        <f t="shared" si="40"/>
        <v>28</v>
      </c>
      <c r="B2550" s="2">
        <v>729</v>
      </c>
      <c r="C2550" s="2">
        <v>3</v>
      </c>
      <c r="D2550" s="2">
        <v>1817</v>
      </c>
      <c r="E2550">
        <v>9292</v>
      </c>
      <c r="H2550" s="2" t="s">
        <v>850</v>
      </c>
      <c r="I2550" s="2">
        <v>28</v>
      </c>
      <c r="J2550" s="2">
        <v>0</v>
      </c>
      <c r="K2550" s="2" t="s">
        <v>863</v>
      </c>
      <c r="L2550" s="43" t="s">
        <v>4945</v>
      </c>
      <c r="P2550" s="41">
        <v>1</v>
      </c>
      <c r="Q2550" s="41">
        <v>9</v>
      </c>
      <c r="R2550" s="41" t="s">
        <v>868</v>
      </c>
      <c r="S2550" t="s">
        <v>3321</v>
      </c>
      <c r="AH2550" t="s">
        <v>359</v>
      </c>
    </row>
    <row r="2551" spans="1:34" ht="15.75">
      <c r="A2551" s="29">
        <f t="shared" si="40"/>
        <v>32000</v>
      </c>
      <c r="B2551" s="2">
        <v>729</v>
      </c>
      <c r="C2551" s="2">
        <v>3</v>
      </c>
      <c r="D2551" s="2">
        <v>1817</v>
      </c>
      <c r="E2551">
        <v>9293</v>
      </c>
      <c r="H2551" s="2" t="s">
        <v>1549</v>
      </c>
      <c r="I2551" s="2">
        <v>0</v>
      </c>
      <c r="J2551" s="2">
        <v>1600</v>
      </c>
      <c r="K2551" s="2" t="s">
        <v>863</v>
      </c>
      <c r="L2551" s="43" t="s">
        <v>2825</v>
      </c>
      <c r="M2551" s="41" t="s">
        <v>2942</v>
      </c>
      <c r="N2551" s="41" t="s">
        <v>2826</v>
      </c>
      <c r="O2551" s="41" t="s">
        <v>2827</v>
      </c>
      <c r="P2551" s="41">
        <v>9</v>
      </c>
      <c r="Q2551" s="41">
        <v>2</v>
      </c>
      <c r="R2551" s="41">
        <v>50</v>
      </c>
      <c r="S2551" t="s">
        <v>2828</v>
      </c>
      <c r="T2551" t="s">
        <v>715</v>
      </c>
      <c r="V2551" t="s">
        <v>2829</v>
      </c>
      <c r="X2551">
        <v>1</v>
      </c>
      <c r="Y2551" t="s">
        <v>2830</v>
      </c>
      <c r="AH2551" t="s">
        <v>359</v>
      </c>
    </row>
    <row r="2552" spans="1:34" ht="15.75">
      <c r="A2552" s="29">
        <f t="shared" si="40"/>
        <v>40458</v>
      </c>
      <c r="B2552" s="2">
        <v>729</v>
      </c>
      <c r="C2552" s="2">
        <v>3</v>
      </c>
      <c r="D2552" s="2">
        <v>1817</v>
      </c>
      <c r="E2552">
        <v>9294</v>
      </c>
      <c r="H2552" s="2" t="s">
        <v>850</v>
      </c>
      <c r="I2552" s="2">
        <v>40458</v>
      </c>
      <c r="J2552" s="2">
        <v>0</v>
      </c>
      <c r="K2552" s="2" t="s">
        <v>863</v>
      </c>
      <c r="L2552" s="43" t="s">
        <v>2844</v>
      </c>
      <c r="M2552" s="41" t="s">
        <v>900</v>
      </c>
      <c r="N2552" s="41" t="s">
        <v>2845</v>
      </c>
      <c r="O2552" s="41" t="s">
        <v>2846</v>
      </c>
      <c r="P2552" s="41">
        <v>12</v>
      </c>
      <c r="Q2552" s="41">
        <v>7</v>
      </c>
      <c r="R2552" s="41">
        <v>32</v>
      </c>
      <c r="S2552" t="s">
        <v>2847</v>
      </c>
      <c r="T2552" t="s">
        <v>2848</v>
      </c>
      <c r="V2552" t="s">
        <v>3151</v>
      </c>
      <c r="AH2552" t="s">
        <v>359</v>
      </c>
    </row>
    <row r="2553" spans="1:34" ht="15.75">
      <c r="A2553" s="29">
        <f t="shared" si="40"/>
        <v>170</v>
      </c>
      <c r="B2553" s="2">
        <v>729</v>
      </c>
      <c r="C2553" s="2">
        <v>3</v>
      </c>
      <c r="D2553" s="2">
        <v>1817</v>
      </c>
      <c r="E2553">
        <v>9295</v>
      </c>
      <c r="H2553" s="2" t="s">
        <v>850</v>
      </c>
      <c r="I2553" s="2">
        <v>170</v>
      </c>
      <c r="J2553" s="2">
        <v>0</v>
      </c>
      <c r="K2553" s="2" t="s">
        <v>863</v>
      </c>
      <c r="L2553" s="43" t="s">
        <v>2349</v>
      </c>
      <c r="P2553" s="41">
        <v>31</v>
      </c>
      <c r="Q2553" s="41">
        <v>8</v>
      </c>
      <c r="R2553" s="41">
        <v>38</v>
      </c>
      <c r="S2553" t="s">
        <v>3321</v>
      </c>
      <c r="AH2553" t="s">
        <v>359</v>
      </c>
    </row>
    <row r="2554" spans="1:34" ht="15.75">
      <c r="A2554" s="29">
        <f t="shared" si="40"/>
        <v>160</v>
      </c>
      <c r="B2554" s="2">
        <v>729</v>
      </c>
      <c r="C2554" s="2">
        <v>3</v>
      </c>
      <c r="D2554" s="2">
        <v>1817</v>
      </c>
      <c r="E2554">
        <v>9296</v>
      </c>
      <c r="H2554" s="2" t="s">
        <v>1549</v>
      </c>
      <c r="I2554" s="2">
        <v>160</v>
      </c>
      <c r="J2554" s="2">
        <v>0</v>
      </c>
      <c r="K2554" s="2" t="s">
        <v>863</v>
      </c>
      <c r="L2554" s="43" t="s">
        <v>4363</v>
      </c>
      <c r="P2554" s="41">
        <v>23</v>
      </c>
      <c r="Q2554" s="41">
        <v>3</v>
      </c>
      <c r="R2554" s="41">
        <v>60</v>
      </c>
      <c r="S2554" t="s">
        <v>3321</v>
      </c>
      <c r="AH2554" t="s">
        <v>359</v>
      </c>
    </row>
    <row r="2555" spans="1:34" ht="15.75">
      <c r="A2555" s="29">
        <f t="shared" si="40"/>
        <v>1391</v>
      </c>
      <c r="B2555" s="2">
        <v>730</v>
      </c>
      <c r="C2555" s="2">
        <v>3</v>
      </c>
      <c r="D2555" s="2">
        <v>1817</v>
      </c>
      <c r="E2555">
        <v>9298</v>
      </c>
      <c r="G2555" s="1"/>
      <c r="H2555" t="s">
        <v>1540</v>
      </c>
      <c r="I2555" s="2">
        <v>1391</v>
      </c>
      <c r="J2555" s="2">
        <v>0</v>
      </c>
      <c r="K2555" s="2" t="s">
        <v>863</v>
      </c>
      <c r="L2555" s="43" t="s">
        <v>5856</v>
      </c>
      <c r="P2555" s="41">
        <v>16</v>
      </c>
      <c r="Q2555" s="41">
        <v>2</v>
      </c>
      <c r="R2555" s="41">
        <v>75</v>
      </c>
      <c r="S2555" t="s">
        <v>4324</v>
      </c>
      <c r="AH2555" t="s">
        <v>359</v>
      </c>
    </row>
    <row r="2556" spans="1:34" ht="15.75">
      <c r="A2556" s="29">
        <f t="shared" si="40"/>
        <v>3741</v>
      </c>
      <c r="B2556" s="2">
        <v>730</v>
      </c>
      <c r="C2556" s="2">
        <v>3</v>
      </c>
      <c r="D2556" s="2">
        <v>1817</v>
      </c>
      <c r="E2556">
        <v>9299</v>
      </c>
      <c r="G2556" s="1"/>
      <c r="H2556" t="s">
        <v>1541</v>
      </c>
      <c r="I2556" s="2">
        <v>3741</v>
      </c>
      <c r="J2556" s="2">
        <v>0</v>
      </c>
      <c r="K2556" s="2" t="s">
        <v>863</v>
      </c>
      <c r="L2556" s="43" t="s">
        <v>1374</v>
      </c>
      <c r="P2556" s="41">
        <v>29</v>
      </c>
      <c r="Q2556" s="41">
        <v>3</v>
      </c>
      <c r="R2556" s="41">
        <v>51</v>
      </c>
      <c r="S2556" t="s">
        <v>3321</v>
      </c>
      <c r="AH2556" t="s">
        <v>359</v>
      </c>
    </row>
    <row r="2557" spans="1:34" ht="15.75">
      <c r="A2557" s="29">
        <f t="shared" si="40"/>
        <v>233</v>
      </c>
      <c r="B2557" s="2">
        <v>730</v>
      </c>
      <c r="C2557" s="2">
        <v>3</v>
      </c>
      <c r="D2557" s="2">
        <v>1817</v>
      </c>
      <c r="E2557">
        <v>9300</v>
      </c>
      <c r="G2557" s="1"/>
      <c r="H2557" t="s">
        <v>1541</v>
      </c>
      <c r="I2557" s="2">
        <v>233</v>
      </c>
      <c r="J2557" s="2">
        <v>0</v>
      </c>
      <c r="K2557" s="2" t="s">
        <v>863</v>
      </c>
      <c r="L2557" s="43" t="s">
        <v>1374</v>
      </c>
      <c r="P2557" s="41">
        <v>21</v>
      </c>
      <c r="Q2557" s="41">
        <v>4</v>
      </c>
      <c r="R2557" s="41">
        <v>65</v>
      </c>
      <c r="S2557" t="s">
        <v>3321</v>
      </c>
      <c r="AH2557" t="s">
        <v>359</v>
      </c>
    </row>
    <row r="2558" spans="1:34" ht="15.75">
      <c r="A2558" s="29">
        <f t="shared" si="40"/>
        <v>10654</v>
      </c>
      <c r="B2558" s="2">
        <v>730</v>
      </c>
      <c r="C2558" s="2">
        <v>3</v>
      </c>
      <c r="D2558" s="2">
        <v>1817</v>
      </c>
      <c r="E2558">
        <v>9301</v>
      </c>
      <c r="G2558" s="1"/>
      <c r="H2558" t="s">
        <v>1541</v>
      </c>
      <c r="I2558" s="2">
        <v>10654</v>
      </c>
      <c r="J2558" s="2">
        <v>0</v>
      </c>
      <c r="K2558" s="2" t="s">
        <v>863</v>
      </c>
      <c r="L2558" s="43" t="s">
        <v>992</v>
      </c>
      <c r="P2558" s="41">
        <v>6</v>
      </c>
      <c r="Q2558" s="41">
        <v>2</v>
      </c>
      <c r="R2558" s="41">
        <v>33</v>
      </c>
      <c r="S2558" t="s">
        <v>3321</v>
      </c>
      <c r="AH2558" t="s">
        <v>359</v>
      </c>
    </row>
    <row r="2559" spans="1:34" ht="15.75">
      <c r="A2559" s="29">
        <f t="shared" si="40"/>
        <v>3051</v>
      </c>
      <c r="B2559" s="2">
        <v>730</v>
      </c>
      <c r="C2559" s="2">
        <v>3</v>
      </c>
      <c r="D2559" s="2">
        <v>1817</v>
      </c>
      <c r="E2559">
        <v>9302</v>
      </c>
      <c r="G2559" s="1"/>
      <c r="H2559" t="s">
        <v>1540</v>
      </c>
      <c r="I2559" s="2">
        <v>3051</v>
      </c>
      <c r="J2559" s="2">
        <v>0</v>
      </c>
      <c r="K2559" s="2" t="s">
        <v>863</v>
      </c>
      <c r="L2559" s="43" t="s">
        <v>992</v>
      </c>
      <c r="P2559" s="41">
        <v>19</v>
      </c>
      <c r="Q2559" s="41">
        <v>11</v>
      </c>
      <c r="R2559" s="41" t="s">
        <v>868</v>
      </c>
      <c r="S2559" t="s">
        <v>1547</v>
      </c>
      <c r="AH2559" t="s">
        <v>359</v>
      </c>
    </row>
    <row r="2560" spans="1:34" ht="15.75">
      <c r="A2560" s="29">
        <f t="shared" si="40"/>
        <v>29711</v>
      </c>
      <c r="B2560" s="8">
        <v>730</v>
      </c>
      <c r="C2560" s="2">
        <v>3</v>
      </c>
      <c r="D2560" s="8">
        <v>1817</v>
      </c>
      <c r="E2560">
        <v>9303</v>
      </c>
      <c r="F2560" s="9"/>
      <c r="G2560" s="7"/>
      <c r="H2560" s="9" t="s">
        <v>1541</v>
      </c>
      <c r="I2560" s="8">
        <f>1680+2031</f>
        <v>3711</v>
      </c>
      <c r="J2560" s="8">
        <v>1300</v>
      </c>
      <c r="K2560" s="2" t="s">
        <v>863</v>
      </c>
      <c r="L2560" s="43" t="s">
        <v>2849</v>
      </c>
      <c r="M2560" s="41" t="s">
        <v>2850</v>
      </c>
      <c r="O2560" s="41" t="s">
        <v>2851</v>
      </c>
      <c r="P2560" s="41">
        <v>25</v>
      </c>
      <c r="Q2560" s="41">
        <v>4</v>
      </c>
      <c r="R2560" s="41">
        <v>49</v>
      </c>
      <c r="S2560" s="11" t="s">
        <v>2852</v>
      </c>
      <c r="T2560" s="11" t="s">
        <v>2784</v>
      </c>
      <c r="U2560" s="11"/>
      <c r="V2560" s="11" t="s">
        <v>2853</v>
      </c>
      <c r="W2560" s="11"/>
      <c r="X2560" s="11">
        <v>1</v>
      </c>
      <c r="Y2560" s="11" t="s">
        <v>2854</v>
      </c>
      <c r="Z2560">
        <v>1</v>
      </c>
      <c r="AA2560" s="11"/>
      <c r="AB2560" s="11"/>
      <c r="AC2560" s="11"/>
      <c r="AD2560" s="11"/>
      <c r="AH2560" t="s">
        <v>359</v>
      </c>
    </row>
    <row r="2561" spans="1:34" ht="15.75">
      <c r="A2561" s="29">
        <f t="shared" si="40"/>
        <v>48</v>
      </c>
      <c r="B2561" s="2">
        <v>730</v>
      </c>
      <c r="C2561" s="2">
        <v>3</v>
      </c>
      <c r="D2561" s="2">
        <v>1817</v>
      </c>
      <c r="E2561">
        <v>9305</v>
      </c>
      <c r="G2561" s="1"/>
      <c r="H2561" t="s">
        <v>1541</v>
      </c>
      <c r="I2561" s="2">
        <v>48</v>
      </c>
      <c r="J2561" s="2">
        <v>0</v>
      </c>
      <c r="K2561" s="2" t="s">
        <v>863</v>
      </c>
      <c r="L2561" s="43" t="s">
        <v>993</v>
      </c>
      <c r="P2561" s="43">
        <v>25</v>
      </c>
      <c r="Q2561" s="41">
        <v>11</v>
      </c>
      <c r="R2561" s="41">
        <v>65</v>
      </c>
      <c r="S2561" t="s">
        <v>3329</v>
      </c>
      <c r="AH2561" t="s">
        <v>359</v>
      </c>
    </row>
    <row r="2562" spans="1:34" ht="15.75">
      <c r="A2562" s="29">
        <f t="shared" si="40"/>
        <v>47</v>
      </c>
      <c r="B2562" s="2">
        <v>730</v>
      </c>
      <c r="C2562" s="2">
        <v>3</v>
      </c>
      <c r="D2562" s="2">
        <v>1817</v>
      </c>
      <c r="E2562">
        <v>9306</v>
      </c>
      <c r="G2562" s="1"/>
      <c r="H2562" t="s">
        <v>1541</v>
      </c>
      <c r="I2562" s="2">
        <v>47</v>
      </c>
      <c r="J2562" s="2">
        <v>0</v>
      </c>
      <c r="K2562" s="2" t="s">
        <v>863</v>
      </c>
      <c r="L2562" s="43" t="s">
        <v>993</v>
      </c>
      <c r="P2562" s="43">
        <v>14</v>
      </c>
      <c r="Q2562" s="41">
        <v>4</v>
      </c>
      <c r="R2562" s="41">
        <v>68</v>
      </c>
      <c r="S2562" t="s">
        <v>3352</v>
      </c>
      <c r="AH2562" t="s">
        <v>359</v>
      </c>
    </row>
    <row r="2563" spans="1:34" ht="15.75">
      <c r="A2563" s="29">
        <f aca="true" t="shared" si="41" ref="A2563:A2594">I2563+J2563*20*X2563</f>
        <v>12391</v>
      </c>
      <c r="B2563" s="2">
        <v>730</v>
      </c>
      <c r="C2563" s="2">
        <v>3</v>
      </c>
      <c r="D2563" s="2">
        <v>1817</v>
      </c>
      <c r="E2563">
        <v>9307</v>
      </c>
      <c r="G2563" s="1"/>
      <c r="H2563" t="s">
        <v>1541</v>
      </c>
      <c r="I2563" s="2">
        <v>12391</v>
      </c>
      <c r="J2563" s="2">
        <v>0</v>
      </c>
      <c r="K2563" s="2" t="s">
        <v>863</v>
      </c>
      <c r="L2563" s="43" t="s">
        <v>1314</v>
      </c>
      <c r="P2563" s="43">
        <v>7</v>
      </c>
      <c r="Q2563" s="41">
        <v>2</v>
      </c>
      <c r="R2563" s="41">
        <v>74</v>
      </c>
      <c r="S2563" t="s">
        <v>3329</v>
      </c>
      <c r="AH2563" t="s">
        <v>359</v>
      </c>
    </row>
    <row r="2564" spans="1:34" ht="15.75">
      <c r="A2564" s="29">
        <f t="shared" si="41"/>
        <v>8536</v>
      </c>
      <c r="B2564" s="2">
        <v>730</v>
      </c>
      <c r="C2564" s="2">
        <v>3</v>
      </c>
      <c r="D2564" s="2">
        <v>1817</v>
      </c>
      <c r="E2564">
        <v>9308</v>
      </c>
      <c r="G2564" s="1"/>
      <c r="H2564" t="s">
        <v>1540</v>
      </c>
      <c r="I2564" s="2">
        <v>8536</v>
      </c>
      <c r="J2564" s="2">
        <v>0</v>
      </c>
      <c r="K2564" s="2" t="s">
        <v>863</v>
      </c>
      <c r="L2564" s="43" t="s">
        <v>995</v>
      </c>
      <c r="P2564" s="43">
        <v>26</v>
      </c>
      <c r="Q2564" s="41">
        <v>3</v>
      </c>
      <c r="R2564" s="41">
        <v>58</v>
      </c>
      <c r="S2564" t="s">
        <v>3324</v>
      </c>
      <c r="AH2564" t="s">
        <v>359</v>
      </c>
    </row>
    <row r="2565" spans="1:34" ht="15.75">
      <c r="A2565" s="29">
        <f t="shared" si="41"/>
        <v>12</v>
      </c>
      <c r="B2565" s="2">
        <v>730</v>
      </c>
      <c r="C2565" s="2">
        <v>3</v>
      </c>
      <c r="D2565" s="2">
        <v>1817</v>
      </c>
      <c r="E2565">
        <v>9309</v>
      </c>
      <c r="G2565" s="1"/>
      <c r="H2565" t="s">
        <v>1541</v>
      </c>
      <c r="I2565" s="2">
        <v>12</v>
      </c>
      <c r="J2565" s="2">
        <v>0</v>
      </c>
      <c r="K2565" s="2" t="s">
        <v>863</v>
      </c>
      <c r="L2565" s="43" t="s">
        <v>995</v>
      </c>
      <c r="P2565" s="43">
        <v>17</v>
      </c>
      <c r="Q2565" s="41">
        <v>4</v>
      </c>
      <c r="R2565" s="41">
        <v>77</v>
      </c>
      <c r="S2565" t="s">
        <v>3329</v>
      </c>
      <c r="AH2565" t="s">
        <v>359</v>
      </c>
    </row>
    <row r="2566" spans="1:34" ht="15.75">
      <c r="A2566" s="29">
        <f t="shared" si="41"/>
        <v>9799</v>
      </c>
      <c r="B2566" s="2">
        <v>730</v>
      </c>
      <c r="C2566" s="2">
        <v>3</v>
      </c>
      <c r="D2566" s="2">
        <v>1817</v>
      </c>
      <c r="E2566">
        <v>9310</v>
      </c>
      <c r="G2566" s="1"/>
      <c r="H2566" t="s">
        <v>1541</v>
      </c>
      <c r="I2566" s="2">
        <v>9799</v>
      </c>
      <c r="J2566" s="2">
        <v>0</v>
      </c>
      <c r="K2566" s="2" t="s">
        <v>863</v>
      </c>
      <c r="L2566" s="43" t="s">
        <v>996</v>
      </c>
      <c r="P2566" s="43">
        <v>6</v>
      </c>
      <c r="Q2566" s="41">
        <v>8</v>
      </c>
      <c r="R2566" s="41">
        <v>50</v>
      </c>
      <c r="S2566" t="s">
        <v>3321</v>
      </c>
      <c r="AH2566" t="s">
        <v>359</v>
      </c>
    </row>
    <row r="2567" spans="1:34" ht="15.75">
      <c r="A2567" s="29">
        <f t="shared" si="41"/>
        <v>10948</v>
      </c>
      <c r="B2567" s="2">
        <v>730</v>
      </c>
      <c r="C2567" s="2">
        <v>3</v>
      </c>
      <c r="D2567" s="2">
        <v>1817</v>
      </c>
      <c r="E2567">
        <v>9311</v>
      </c>
      <c r="G2567" s="1"/>
      <c r="H2567" t="s">
        <v>1541</v>
      </c>
      <c r="I2567" s="2">
        <v>10948</v>
      </c>
      <c r="J2567" s="2">
        <v>0</v>
      </c>
      <c r="K2567" s="2" t="s">
        <v>863</v>
      </c>
      <c r="L2567" s="43" t="s">
        <v>4946</v>
      </c>
      <c r="P2567" s="43">
        <v>8</v>
      </c>
      <c r="Q2567" s="41">
        <v>9</v>
      </c>
      <c r="R2567" s="41">
        <v>45</v>
      </c>
      <c r="S2567" t="s">
        <v>3329</v>
      </c>
      <c r="AH2567" t="s">
        <v>359</v>
      </c>
    </row>
    <row r="2568" spans="1:34" ht="15.75">
      <c r="A2568" s="29">
        <f t="shared" si="41"/>
        <v>1239</v>
      </c>
      <c r="B2568" s="2">
        <v>730</v>
      </c>
      <c r="C2568" s="2">
        <v>3</v>
      </c>
      <c r="D2568" s="2">
        <v>1817</v>
      </c>
      <c r="E2568">
        <v>9312</v>
      </c>
      <c r="G2568" s="1"/>
      <c r="H2568" t="s">
        <v>1541</v>
      </c>
      <c r="I2568" s="2">
        <f>826+413</f>
        <v>1239</v>
      </c>
      <c r="J2568" s="2">
        <v>0</v>
      </c>
      <c r="K2568" s="2" t="s">
        <v>863</v>
      </c>
      <c r="L2568" s="43" t="s">
        <v>4946</v>
      </c>
      <c r="P2568" s="43">
        <v>12</v>
      </c>
      <c r="Q2568" s="41">
        <v>11</v>
      </c>
      <c r="R2568" s="41">
        <v>27</v>
      </c>
      <c r="S2568" t="s">
        <v>3321</v>
      </c>
      <c r="AH2568" t="s">
        <v>359</v>
      </c>
    </row>
    <row r="2569" spans="1:34" ht="15.75">
      <c r="A2569" s="29">
        <f t="shared" si="41"/>
        <v>77251</v>
      </c>
      <c r="B2569" s="8">
        <v>731</v>
      </c>
      <c r="C2569" s="2">
        <v>3</v>
      </c>
      <c r="D2569" s="8">
        <v>1817</v>
      </c>
      <c r="E2569">
        <v>9313</v>
      </c>
      <c r="F2569" s="9"/>
      <c r="G2569" s="7"/>
      <c r="H2569" s="9" t="s">
        <v>1540</v>
      </c>
      <c r="I2569" s="8">
        <v>77251</v>
      </c>
      <c r="J2569" s="8">
        <v>0</v>
      </c>
      <c r="K2569" s="2" t="s">
        <v>863</v>
      </c>
      <c r="L2569" s="43" t="s">
        <v>2857</v>
      </c>
      <c r="M2569" s="41" t="s">
        <v>2858</v>
      </c>
      <c r="N2569" s="41" t="s">
        <v>1555</v>
      </c>
      <c r="O2569" s="41" t="s">
        <v>2859</v>
      </c>
      <c r="P2569" s="41">
        <v>22</v>
      </c>
      <c r="Q2569" s="41">
        <v>8</v>
      </c>
      <c r="R2569" s="41">
        <v>56</v>
      </c>
      <c r="S2569" t="s">
        <v>2860</v>
      </c>
      <c r="T2569" t="s">
        <v>2861</v>
      </c>
      <c r="V2569" s="4" t="s">
        <v>2862</v>
      </c>
      <c r="W2569" s="4"/>
      <c r="AH2569" t="s">
        <v>359</v>
      </c>
    </row>
    <row r="2570" spans="1:34" ht="15.75">
      <c r="A2570" s="29">
        <f t="shared" si="41"/>
        <v>1200</v>
      </c>
      <c r="B2570" s="8">
        <v>731</v>
      </c>
      <c r="C2570" s="2">
        <v>3</v>
      </c>
      <c r="D2570" s="8">
        <v>1817</v>
      </c>
      <c r="E2570">
        <v>9314</v>
      </c>
      <c r="F2570" s="9"/>
      <c r="G2570" s="7"/>
      <c r="H2570" s="9" t="s">
        <v>1541</v>
      </c>
      <c r="I2570" s="8">
        <v>1200</v>
      </c>
      <c r="J2570" s="8">
        <v>0</v>
      </c>
      <c r="K2570" s="2" t="s">
        <v>863</v>
      </c>
      <c r="L2570" s="43" t="s">
        <v>1000</v>
      </c>
      <c r="P2570" s="41">
        <v>21</v>
      </c>
      <c r="Q2570" s="41">
        <v>10</v>
      </c>
      <c r="R2570" s="41">
        <v>53</v>
      </c>
      <c r="S2570" t="s">
        <v>3321</v>
      </c>
      <c r="AH2570" t="s">
        <v>359</v>
      </c>
    </row>
    <row r="2571" spans="1:34" ht="15.75">
      <c r="A2571" s="29">
        <f t="shared" si="41"/>
        <v>188</v>
      </c>
      <c r="B2571" s="8">
        <v>731</v>
      </c>
      <c r="C2571" s="2">
        <v>3</v>
      </c>
      <c r="D2571" s="8">
        <v>1817</v>
      </c>
      <c r="E2571">
        <v>9315</v>
      </c>
      <c r="F2571" s="9"/>
      <c r="G2571" s="7"/>
      <c r="H2571" s="9" t="s">
        <v>1541</v>
      </c>
      <c r="I2571" s="8">
        <v>188</v>
      </c>
      <c r="J2571" s="8">
        <v>0</v>
      </c>
      <c r="K2571" s="2" t="s">
        <v>863</v>
      </c>
      <c r="L2571" s="43" t="s">
        <v>6002</v>
      </c>
      <c r="P2571" s="41">
        <v>30</v>
      </c>
      <c r="Q2571" s="41">
        <v>10</v>
      </c>
      <c r="R2571" s="41" t="s">
        <v>1547</v>
      </c>
      <c r="S2571" t="s">
        <v>3321</v>
      </c>
      <c r="AH2571" t="s">
        <v>359</v>
      </c>
    </row>
    <row r="2572" spans="1:34" ht="15.75">
      <c r="A2572" s="29">
        <f t="shared" si="41"/>
        <v>150</v>
      </c>
      <c r="B2572" s="8">
        <v>731</v>
      </c>
      <c r="C2572" s="2">
        <v>3</v>
      </c>
      <c r="D2572" s="8">
        <v>1817</v>
      </c>
      <c r="E2572">
        <v>9316</v>
      </c>
      <c r="F2572" s="9"/>
      <c r="G2572" s="7"/>
      <c r="H2572" s="9" t="s">
        <v>1540</v>
      </c>
      <c r="I2572" s="8">
        <v>150</v>
      </c>
      <c r="J2572" s="8">
        <v>0</v>
      </c>
      <c r="K2572" s="2" t="s">
        <v>863</v>
      </c>
      <c r="L2572" s="43" t="s">
        <v>1306</v>
      </c>
      <c r="P2572" s="41">
        <v>9</v>
      </c>
      <c r="Q2572" s="41">
        <v>1</v>
      </c>
      <c r="R2572" s="41">
        <v>52</v>
      </c>
      <c r="S2572" t="s">
        <v>3321</v>
      </c>
      <c r="AH2572" t="s">
        <v>359</v>
      </c>
    </row>
    <row r="2573" spans="1:34" ht="15.75">
      <c r="A2573" s="29">
        <f t="shared" si="41"/>
        <v>82247</v>
      </c>
      <c r="B2573" s="8">
        <v>731</v>
      </c>
      <c r="C2573" s="2">
        <v>3</v>
      </c>
      <c r="D2573" s="8">
        <v>1817</v>
      </c>
      <c r="E2573">
        <v>9317</v>
      </c>
      <c r="F2573" s="9"/>
      <c r="G2573" s="7"/>
      <c r="H2573" s="9" t="s">
        <v>1540</v>
      </c>
      <c r="I2573" s="8">
        <v>13587</v>
      </c>
      <c r="J2573" s="8">
        <v>3433</v>
      </c>
      <c r="K2573" s="2" t="s">
        <v>863</v>
      </c>
      <c r="L2573" s="43" t="s">
        <v>3185</v>
      </c>
      <c r="M2573" s="41" t="s">
        <v>2863</v>
      </c>
      <c r="N2573" s="41" t="s">
        <v>2864</v>
      </c>
      <c r="O2573" s="41" t="s">
        <v>2865</v>
      </c>
      <c r="P2573" s="41">
        <v>1</v>
      </c>
      <c r="Q2573" s="41">
        <v>10</v>
      </c>
      <c r="R2573" s="41">
        <v>59</v>
      </c>
      <c r="S2573" t="s">
        <v>2866</v>
      </c>
      <c r="T2573" t="s">
        <v>4649</v>
      </c>
      <c r="V2573" t="s">
        <v>2867</v>
      </c>
      <c r="X2573">
        <v>1</v>
      </c>
      <c r="Y2573" t="s">
        <v>2865</v>
      </c>
      <c r="AH2573" t="s">
        <v>359</v>
      </c>
    </row>
    <row r="2574" spans="1:34" ht="15.75">
      <c r="A2574" s="29">
        <f t="shared" si="41"/>
        <v>26576</v>
      </c>
      <c r="B2574" s="8">
        <v>731</v>
      </c>
      <c r="C2574" s="2">
        <v>3</v>
      </c>
      <c r="D2574" s="8">
        <v>1817</v>
      </c>
      <c r="E2574">
        <v>9318</v>
      </c>
      <c r="F2574" s="9"/>
      <c r="G2574" s="7"/>
      <c r="H2574" s="9" t="s">
        <v>1540</v>
      </c>
      <c r="I2574" s="8">
        <f>6000+576</f>
        <v>6576</v>
      </c>
      <c r="J2574" s="8">
        <v>1000</v>
      </c>
      <c r="K2574" s="2" t="s">
        <v>863</v>
      </c>
      <c r="L2574" s="43" t="s">
        <v>2868</v>
      </c>
      <c r="M2574" s="41" t="s">
        <v>5316</v>
      </c>
      <c r="N2574" s="41" t="s">
        <v>1555</v>
      </c>
      <c r="O2574" s="41" t="s">
        <v>2869</v>
      </c>
      <c r="P2574" s="41">
        <v>28</v>
      </c>
      <c r="Q2574" s="41">
        <v>11</v>
      </c>
      <c r="R2574" s="41" t="s">
        <v>868</v>
      </c>
      <c r="S2574" t="s">
        <v>1547</v>
      </c>
      <c r="T2574" t="s">
        <v>2870</v>
      </c>
      <c r="V2574" t="s">
        <v>2871</v>
      </c>
      <c r="X2574">
        <v>1</v>
      </c>
      <c r="Y2574" t="s">
        <v>2872</v>
      </c>
      <c r="AA2574" t="s">
        <v>2873</v>
      </c>
      <c r="AH2574" t="s">
        <v>359</v>
      </c>
    </row>
    <row r="2575" spans="1:34" ht="15.75">
      <c r="A2575" s="29">
        <f t="shared" si="41"/>
        <v>7894</v>
      </c>
      <c r="B2575" s="2">
        <v>731</v>
      </c>
      <c r="C2575" s="2">
        <v>3</v>
      </c>
      <c r="D2575" s="2">
        <v>1817</v>
      </c>
      <c r="E2575">
        <v>9319</v>
      </c>
      <c r="G2575" s="1"/>
      <c r="H2575" t="s">
        <v>1540</v>
      </c>
      <c r="I2575" s="2">
        <v>7894</v>
      </c>
      <c r="J2575" s="2">
        <v>0</v>
      </c>
      <c r="K2575" s="2" t="s">
        <v>863</v>
      </c>
      <c r="L2575" s="43" t="s">
        <v>1003</v>
      </c>
      <c r="P2575" s="41">
        <v>28</v>
      </c>
      <c r="Q2575" s="41">
        <v>12</v>
      </c>
      <c r="R2575" s="41" t="s">
        <v>868</v>
      </c>
      <c r="S2575" t="s">
        <v>3321</v>
      </c>
      <c r="AH2575" t="s">
        <v>359</v>
      </c>
    </row>
    <row r="2576" spans="1:34" ht="15.75">
      <c r="A2576" s="29">
        <f t="shared" si="41"/>
        <v>89</v>
      </c>
      <c r="B2576" s="8">
        <v>732</v>
      </c>
      <c r="C2576" s="2">
        <v>3</v>
      </c>
      <c r="D2576" s="8">
        <v>1817</v>
      </c>
      <c r="E2576">
        <v>9320</v>
      </c>
      <c r="F2576" s="9"/>
      <c r="G2576" s="7"/>
      <c r="H2576" s="9" t="s">
        <v>1540</v>
      </c>
      <c r="I2576" s="8">
        <v>89</v>
      </c>
      <c r="J2576" s="8">
        <v>0</v>
      </c>
      <c r="K2576" s="2" t="s">
        <v>863</v>
      </c>
      <c r="L2576" s="43" t="s">
        <v>1308</v>
      </c>
      <c r="P2576" s="41">
        <v>19</v>
      </c>
      <c r="Q2576" s="41">
        <v>8</v>
      </c>
      <c r="R2576" s="41">
        <v>52</v>
      </c>
      <c r="S2576" t="s">
        <v>3321</v>
      </c>
      <c r="AH2576" t="s">
        <v>359</v>
      </c>
    </row>
    <row r="2577" spans="1:34" ht="15.75">
      <c r="A2577" s="29">
        <f t="shared" si="41"/>
        <v>2104</v>
      </c>
      <c r="B2577" s="8">
        <v>732</v>
      </c>
      <c r="C2577" s="2">
        <v>3</v>
      </c>
      <c r="D2577" s="8">
        <v>1817</v>
      </c>
      <c r="E2577">
        <v>9321</v>
      </c>
      <c r="F2577" s="9"/>
      <c r="G2577" s="7"/>
      <c r="H2577" s="9" t="s">
        <v>1541</v>
      </c>
      <c r="I2577" s="8">
        <v>2104</v>
      </c>
      <c r="J2577" s="8">
        <v>0</v>
      </c>
      <c r="K2577" s="2" t="s">
        <v>863</v>
      </c>
      <c r="L2577" s="43" t="s">
        <v>1308</v>
      </c>
      <c r="P2577" s="41">
        <v>30</v>
      </c>
      <c r="Q2577" s="41">
        <v>10</v>
      </c>
      <c r="R2577" s="41">
        <v>44</v>
      </c>
      <c r="S2577" t="s">
        <v>3352</v>
      </c>
      <c r="AH2577" t="s">
        <v>359</v>
      </c>
    </row>
    <row r="2578" spans="1:34" ht="15.75">
      <c r="A2578" s="29">
        <f t="shared" si="41"/>
        <v>800</v>
      </c>
      <c r="B2578" s="2">
        <v>731</v>
      </c>
      <c r="C2578" s="2">
        <v>3</v>
      </c>
      <c r="D2578" s="2">
        <v>1817</v>
      </c>
      <c r="E2578">
        <v>9322</v>
      </c>
      <c r="G2578" s="1"/>
      <c r="H2578" t="s">
        <v>1540</v>
      </c>
      <c r="I2578" s="2">
        <v>800</v>
      </c>
      <c r="J2578" s="2">
        <v>0</v>
      </c>
      <c r="K2578" s="2" t="s">
        <v>863</v>
      </c>
      <c r="L2578" s="43" t="s">
        <v>4948</v>
      </c>
      <c r="P2578" s="41">
        <v>23</v>
      </c>
      <c r="Q2578" s="41">
        <v>12</v>
      </c>
      <c r="R2578" s="41">
        <v>66</v>
      </c>
      <c r="S2578" t="s">
        <v>3321</v>
      </c>
      <c r="AH2578" t="s">
        <v>359</v>
      </c>
    </row>
    <row r="2579" spans="1:34" ht="15.75">
      <c r="A2579" s="29">
        <f t="shared" si="41"/>
        <v>1137</v>
      </c>
      <c r="B2579" s="2">
        <v>731</v>
      </c>
      <c r="C2579" s="2">
        <v>3</v>
      </c>
      <c r="D2579" s="2">
        <v>1817</v>
      </c>
      <c r="E2579">
        <v>9323</v>
      </c>
      <c r="G2579" s="1"/>
      <c r="H2579" t="s">
        <v>1541</v>
      </c>
      <c r="I2579" s="2">
        <f>341+796</f>
        <v>1137</v>
      </c>
      <c r="J2579" s="2">
        <v>0</v>
      </c>
      <c r="K2579" s="2" t="s">
        <v>863</v>
      </c>
      <c r="L2579" s="43" t="s">
        <v>5777</v>
      </c>
      <c r="M2579" s="41" t="s">
        <v>1691</v>
      </c>
      <c r="N2579" s="41" t="s">
        <v>2709</v>
      </c>
      <c r="O2579" s="41" t="s">
        <v>2874</v>
      </c>
      <c r="P2579" s="41">
        <v>17</v>
      </c>
      <c r="Q2579" s="41">
        <v>1</v>
      </c>
      <c r="R2579" s="41">
        <v>43</v>
      </c>
      <c r="S2579" t="s">
        <v>3321</v>
      </c>
      <c r="T2579" t="s">
        <v>1547</v>
      </c>
      <c r="V2579" t="s">
        <v>1547</v>
      </c>
      <c r="AH2579" t="s">
        <v>359</v>
      </c>
    </row>
    <row r="2580" spans="1:34" ht="15.75">
      <c r="A2580" s="29">
        <f t="shared" si="41"/>
        <v>4400</v>
      </c>
      <c r="B2580" s="8">
        <v>732</v>
      </c>
      <c r="C2580" s="2">
        <v>3</v>
      </c>
      <c r="D2580" s="8">
        <v>1817</v>
      </c>
      <c r="E2580">
        <v>9324</v>
      </c>
      <c r="F2580" s="9"/>
      <c r="G2580" s="7"/>
      <c r="H2580" s="9" t="s">
        <v>1541</v>
      </c>
      <c r="I2580" s="8">
        <v>0</v>
      </c>
      <c r="J2580" s="8">
        <v>2200</v>
      </c>
      <c r="K2580" s="2" t="s">
        <v>863</v>
      </c>
      <c r="L2580" s="43" t="s">
        <v>5053</v>
      </c>
      <c r="M2580" s="41" t="s">
        <v>4317</v>
      </c>
      <c r="N2580" s="41" t="s">
        <v>4926</v>
      </c>
      <c r="O2580" s="41" t="s">
        <v>2875</v>
      </c>
      <c r="P2580" s="41">
        <v>16</v>
      </c>
      <c r="Q2580" s="41">
        <v>2</v>
      </c>
      <c r="S2580" t="s">
        <v>2876</v>
      </c>
      <c r="T2580" t="s">
        <v>1765</v>
      </c>
      <c r="V2580" t="s">
        <v>2877</v>
      </c>
      <c r="X2580">
        <f>1/10</f>
        <v>0.1</v>
      </c>
      <c r="Y2580" t="s">
        <v>2878</v>
      </c>
      <c r="AH2580" t="s">
        <v>359</v>
      </c>
    </row>
    <row r="2581" spans="1:34" ht="15.75">
      <c r="A2581" s="29">
        <f t="shared" si="41"/>
        <v>2700</v>
      </c>
      <c r="B2581" s="8">
        <v>732</v>
      </c>
      <c r="C2581" s="2">
        <v>3</v>
      </c>
      <c r="D2581" s="8">
        <v>1817</v>
      </c>
      <c r="E2581">
        <v>9325</v>
      </c>
      <c r="F2581" s="9"/>
      <c r="G2581" s="7"/>
      <c r="H2581" s="9" t="s">
        <v>1540</v>
      </c>
      <c r="I2581" s="8">
        <v>2700</v>
      </c>
      <c r="J2581" s="8">
        <v>0</v>
      </c>
      <c r="K2581" s="2" t="s">
        <v>863</v>
      </c>
      <c r="L2581" s="43" t="s">
        <v>1309</v>
      </c>
      <c r="P2581" s="41">
        <v>14</v>
      </c>
      <c r="Q2581" s="41">
        <v>6</v>
      </c>
      <c r="R2581" s="41">
        <v>63</v>
      </c>
      <c r="S2581" t="s">
        <v>3321</v>
      </c>
      <c r="AH2581" t="s">
        <v>359</v>
      </c>
    </row>
    <row r="2582" spans="1:34" ht="15.75">
      <c r="A2582" s="29">
        <f t="shared" si="41"/>
        <v>8940</v>
      </c>
      <c r="B2582" s="8">
        <v>732</v>
      </c>
      <c r="C2582" s="2">
        <v>3</v>
      </c>
      <c r="D2582" s="8">
        <v>1817</v>
      </c>
      <c r="E2582">
        <v>9326</v>
      </c>
      <c r="F2582" s="9"/>
      <c r="G2582" s="7"/>
      <c r="H2582" s="9" t="s">
        <v>1540</v>
      </c>
      <c r="I2582" s="8">
        <v>8940</v>
      </c>
      <c r="J2582" s="8">
        <v>0</v>
      </c>
      <c r="K2582" s="2" t="s">
        <v>863</v>
      </c>
      <c r="L2582" s="43" t="s">
        <v>1309</v>
      </c>
      <c r="P2582" s="41">
        <v>3</v>
      </c>
      <c r="Q2582" s="41">
        <v>4</v>
      </c>
      <c r="R2582" s="41">
        <v>51</v>
      </c>
      <c r="S2582" t="s">
        <v>1547</v>
      </c>
      <c r="AH2582" t="s">
        <v>359</v>
      </c>
    </row>
    <row r="2583" spans="1:34" ht="15.75">
      <c r="A2583" s="29">
        <f t="shared" si="41"/>
        <v>2700</v>
      </c>
      <c r="B2583" s="8">
        <v>732</v>
      </c>
      <c r="C2583" s="2">
        <v>3</v>
      </c>
      <c r="D2583" s="8">
        <v>1817</v>
      </c>
      <c r="E2583">
        <v>9327</v>
      </c>
      <c r="F2583" s="9"/>
      <c r="G2583" s="7"/>
      <c r="H2583" s="9" t="s">
        <v>1540</v>
      </c>
      <c r="I2583" s="8">
        <v>2700</v>
      </c>
      <c r="J2583" s="8">
        <v>0</v>
      </c>
      <c r="K2583" s="2" t="s">
        <v>863</v>
      </c>
      <c r="L2583" s="43" t="s">
        <v>3972</v>
      </c>
      <c r="P2583" s="41">
        <v>14</v>
      </c>
      <c r="Q2583" s="41">
        <v>6</v>
      </c>
      <c r="R2583" s="41" t="s">
        <v>868</v>
      </c>
      <c r="S2583" t="s">
        <v>1547</v>
      </c>
      <c r="AH2583" t="s">
        <v>359</v>
      </c>
    </row>
    <row r="2584" spans="1:34" ht="15.75">
      <c r="A2584" s="29">
        <f t="shared" si="41"/>
        <v>4130</v>
      </c>
      <c r="B2584" s="8">
        <v>732</v>
      </c>
      <c r="C2584" s="2">
        <v>3</v>
      </c>
      <c r="D2584" s="8">
        <v>1817</v>
      </c>
      <c r="E2584">
        <v>9328</v>
      </c>
      <c r="F2584" s="9"/>
      <c r="G2584" s="7"/>
      <c r="H2584" s="9" t="s">
        <v>1540</v>
      </c>
      <c r="I2584" s="8">
        <v>4130</v>
      </c>
      <c r="J2584" s="8">
        <v>0</v>
      </c>
      <c r="K2584" s="2" t="s">
        <v>863</v>
      </c>
      <c r="L2584" s="43" t="s">
        <v>1311</v>
      </c>
      <c r="P2584" s="41">
        <v>10</v>
      </c>
      <c r="Q2584" s="41">
        <v>8</v>
      </c>
      <c r="R2584" s="41">
        <v>78</v>
      </c>
      <c r="S2584" t="s">
        <v>3329</v>
      </c>
      <c r="AH2584" t="s">
        <v>359</v>
      </c>
    </row>
    <row r="2585" spans="1:34" ht="15.75">
      <c r="A2585" s="29">
        <f t="shared" si="41"/>
        <v>13371</v>
      </c>
      <c r="B2585" s="8">
        <v>732</v>
      </c>
      <c r="C2585" s="2">
        <v>3</v>
      </c>
      <c r="D2585" s="8">
        <v>1817</v>
      </c>
      <c r="E2585">
        <v>9329</v>
      </c>
      <c r="F2585" s="9"/>
      <c r="G2585" s="7"/>
      <c r="H2585" s="9" t="s">
        <v>1541</v>
      </c>
      <c r="I2585" s="8">
        <v>1371</v>
      </c>
      <c r="J2585" s="8">
        <v>600</v>
      </c>
      <c r="K2585" s="2" t="s">
        <v>863</v>
      </c>
      <c r="L2585" s="43" t="s">
        <v>1320</v>
      </c>
      <c r="P2585" s="41">
        <v>21</v>
      </c>
      <c r="Q2585" s="41">
        <v>4</v>
      </c>
      <c r="R2585" s="41">
        <v>43</v>
      </c>
      <c r="S2585" t="s">
        <v>3321</v>
      </c>
      <c r="X2585">
        <v>1</v>
      </c>
      <c r="Y2585" t="s">
        <v>2879</v>
      </c>
      <c r="AH2585" t="s">
        <v>359</v>
      </c>
    </row>
    <row r="2586" spans="1:34" ht="15.75">
      <c r="A2586" s="29">
        <f t="shared" si="41"/>
        <v>3064</v>
      </c>
      <c r="B2586" s="8">
        <v>732</v>
      </c>
      <c r="C2586" s="2">
        <v>3</v>
      </c>
      <c r="D2586" s="8">
        <v>1817</v>
      </c>
      <c r="E2586">
        <v>9330</v>
      </c>
      <c r="F2586" s="9"/>
      <c r="G2586" s="7"/>
      <c r="H2586" s="9" t="s">
        <v>1540</v>
      </c>
      <c r="I2586" s="8">
        <v>3064</v>
      </c>
      <c r="J2586" s="8">
        <v>0</v>
      </c>
      <c r="K2586" s="2" t="s">
        <v>863</v>
      </c>
      <c r="L2586" s="43" t="s">
        <v>1320</v>
      </c>
      <c r="P2586" s="41">
        <v>13</v>
      </c>
      <c r="Q2586" s="41">
        <v>4</v>
      </c>
      <c r="R2586" s="41" t="s">
        <v>868</v>
      </c>
      <c r="S2586" t="s">
        <v>1547</v>
      </c>
      <c r="AH2586" t="s">
        <v>359</v>
      </c>
    </row>
    <row r="2587" spans="1:34" ht="15.75">
      <c r="A2587" s="29">
        <f t="shared" si="41"/>
        <v>1117</v>
      </c>
      <c r="B2587" s="8">
        <v>732</v>
      </c>
      <c r="C2587" s="2">
        <v>3</v>
      </c>
      <c r="D2587" s="8">
        <v>1817</v>
      </c>
      <c r="E2587">
        <v>9331</v>
      </c>
      <c r="F2587" s="9"/>
      <c r="G2587" s="7"/>
      <c r="H2587" s="9" t="s">
        <v>1540</v>
      </c>
      <c r="I2587" s="8">
        <v>1117</v>
      </c>
      <c r="J2587" s="8">
        <v>0</v>
      </c>
      <c r="K2587" s="2" t="s">
        <v>863</v>
      </c>
      <c r="L2587" s="43" t="s">
        <v>1320</v>
      </c>
      <c r="P2587" s="41">
        <v>19</v>
      </c>
      <c r="Q2587" s="41">
        <v>12</v>
      </c>
      <c r="R2587" s="41">
        <v>38</v>
      </c>
      <c r="S2587" t="s">
        <v>3321</v>
      </c>
      <c r="AH2587" t="s">
        <v>359</v>
      </c>
    </row>
    <row r="2588" spans="1:34" ht="15.75">
      <c r="A2588" s="29">
        <f t="shared" si="41"/>
        <v>315</v>
      </c>
      <c r="B2588" s="8">
        <v>732</v>
      </c>
      <c r="C2588" s="2">
        <v>3</v>
      </c>
      <c r="D2588" s="8">
        <v>1817</v>
      </c>
      <c r="E2588">
        <v>9332</v>
      </c>
      <c r="F2588" s="9"/>
      <c r="G2588" s="7"/>
      <c r="H2588" s="9" t="s">
        <v>1541</v>
      </c>
      <c r="I2588" s="8">
        <v>315</v>
      </c>
      <c r="J2588" s="8">
        <v>0</v>
      </c>
      <c r="K2588" s="2" t="s">
        <v>863</v>
      </c>
      <c r="L2588" s="43" t="s">
        <v>1365</v>
      </c>
      <c r="P2588" s="41">
        <v>4</v>
      </c>
      <c r="Q2588" s="41">
        <v>10</v>
      </c>
      <c r="R2588" s="41">
        <v>68</v>
      </c>
      <c r="S2588" t="s">
        <v>3329</v>
      </c>
      <c r="AH2588" t="s">
        <v>359</v>
      </c>
    </row>
    <row r="2589" spans="1:34" ht="15.75">
      <c r="A2589" s="29">
        <f t="shared" si="41"/>
        <v>50</v>
      </c>
      <c r="B2589" s="2">
        <v>732</v>
      </c>
      <c r="C2589" s="2">
        <v>3</v>
      </c>
      <c r="D2589" s="2">
        <v>1817</v>
      </c>
      <c r="E2589">
        <v>9333</v>
      </c>
      <c r="G2589" s="1"/>
      <c r="H2589" t="s">
        <v>850</v>
      </c>
      <c r="I2589" s="2">
        <v>50</v>
      </c>
      <c r="J2589" s="2">
        <v>0</v>
      </c>
      <c r="K2589" s="2" t="s">
        <v>863</v>
      </c>
      <c r="L2589" s="43" t="s">
        <v>1365</v>
      </c>
      <c r="P2589" s="41">
        <v>6</v>
      </c>
      <c r="Q2589" s="41">
        <v>5</v>
      </c>
      <c r="R2589" s="41">
        <v>51</v>
      </c>
      <c r="S2589" t="s">
        <v>3329</v>
      </c>
      <c r="AH2589" t="s">
        <v>359</v>
      </c>
    </row>
    <row r="2590" spans="1:34" ht="15.75">
      <c r="A2590" s="29">
        <f t="shared" si="41"/>
        <v>1867</v>
      </c>
      <c r="B2590" s="8">
        <v>732</v>
      </c>
      <c r="C2590" s="2">
        <v>3</v>
      </c>
      <c r="D2590" s="8">
        <v>1817</v>
      </c>
      <c r="E2590">
        <v>9334</v>
      </c>
      <c r="F2590" s="9"/>
      <c r="G2590" s="7"/>
      <c r="H2590" s="9" t="s">
        <v>1540</v>
      </c>
      <c r="I2590" s="8">
        <v>1867</v>
      </c>
      <c r="J2590" s="8">
        <v>0</v>
      </c>
      <c r="K2590" s="2" t="s">
        <v>863</v>
      </c>
      <c r="L2590" s="43" t="s">
        <v>2676</v>
      </c>
      <c r="P2590" s="41">
        <v>17</v>
      </c>
      <c r="Q2590" s="41">
        <v>2</v>
      </c>
      <c r="R2590" s="41">
        <v>44</v>
      </c>
      <c r="S2590" t="s">
        <v>3321</v>
      </c>
      <c r="AH2590" t="s">
        <v>359</v>
      </c>
    </row>
    <row r="2591" spans="1:34" ht="15.75">
      <c r="A2591" s="29">
        <f t="shared" si="41"/>
        <v>1000</v>
      </c>
      <c r="B2591" s="8">
        <v>732</v>
      </c>
      <c r="C2591" s="2">
        <v>3</v>
      </c>
      <c r="D2591" s="8">
        <v>1817</v>
      </c>
      <c r="E2591">
        <v>9335</v>
      </c>
      <c r="F2591" s="9"/>
      <c r="G2591" s="7"/>
      <c r="H2591" s="9" t="s">
        <v>1541</v>
      </c>
      <c r="I2591" s="8">
        <v>1000</v>
      </c>
      <c r="J2591" s="8">
        <v>0</v>
      </c>
      <c r="K2591" s="2" t="s">
        <v>863</v>
      </c>
      <c r="L2591" s="43" t="s">
        <v>2880</v>
      </c>
      <c r="P2591" s="41">
        <v>28</v>
      </c>
      <c r="Q2591" s="41">
        <v>8</v>
      </c>
      <c r="R2591" s="41">
        <v>32</v>
      </c>
      <c r="S2591" t="s">
        <v>3321</v>
      </c>
      <c r="AH2591" t="s">
        <v>359</v>
      </c>
    </row>
    <row r="2592" spans="1:34" ht="15.75">
      <c r="A2592" s="29">
        <f t="shared" si="41"/>
        <v>144</v>
      </c>
      <c r="B2592" s="8">
        <v>732</v>
      </c>
      <c r="C2592" s="2">
        <v>3</v>
      </c>
      <c r="D2592" s="8">
        <v>1817</v>
      </c>
      <c r="E2592">
        <v>9337</v>
      </c>
      <c r="F2592" s="9"/>
      <c r="G2592" s="7"/>
      <c r="H2592" s="9" t="s">
        <v>1541</v>
      </c>
      <c r="I2592" s="8">
        <v>144</v>
      </c>
      <c r="J2592" s="8">
        <v>0</v>
      </c>
      <c r="K2592" s="2" t="s">
        <v>863</v>
      </c>
      <c r="L2592" s="43" t="s">
        <v>1004</v>
      </c>
      <c r="P2592" s="41">
        <v>24</v>
      </c>
      <c r="Q2592" s="41">
        <v>4</v>
      </c>
      <c r="R2592" s="41">
        <v>68</v>
      </c>
      <c r="S2592" t="s">
        <v>3321</v>
      </c>
      <c r="AH2592" t="s">
        <v>359</v>
      </c>
    </row>
    <row r="2593" spans="1:34" ht="15.75">
      <c r="A2593" s="29">
        <f t="shared" si="41"/>
        <v>12081</v>
      </c>
      <c r="B2593" s="8">
        <v>732</v>
      </c>
      <c r="C2593" s="2">
        <v>3</v>
      </c>
      <c r="D2593" s="8">
        <v>1817</v>
      </c>
      <c r="E2593">
        <v>9338</v>
      </c>
      <c r="F2593" s="9"/>
      <c r="G2593" s="7"/>
      <c r="H2593" s="9" t="s">
        <v>1541</v>
      </c>
      <c r="I2593" s="8">
        <v>81</v>
      </c>
      <c r="J2593" s="8">
        <v>600</v>
      </c>
      <c r="K2593" s="2" t="s">
        <v>863</v>
      </c>
      <c r="L2593" s="43" t="s">
        <v>1004</v>
      </c>
      <c r="P2593" s="41">
        <v>20</v>
      </c>
      <c r="Q2593" s="41">
        <v>5</v>
      </c>
      <c r="R2593" s="41">
        <v>75</v>
      </c>
      <c r="S2593" t="s">
        <v>3329</v>
      </c>
      <c r="X2593">
        <v>1</v>
      </c>
      <c r="Y2593" t="s">
        <v>2884</v>
      </c>
      <c r="AH2593" t="s">
        <v>359</v>
      </c>
    </row>
    <row r="2594" spans="1:34" ht="15.75">
      <c r="A2594" s="29">
        <f t="shared" si="41"/>
        <v>48</v>
      </c>
      <c r="B2594" s="2">
        <v>732</v>
      </c>
      <c r="C2594" s="2">
        <v>3</v>
      </c>
      <c r="D2594" s="2">
        <v>1817</v>
      </c>
      <c r="E2594">
        <v>9339</v>
      </c>
      <c r="G2594" s="1"/>
      <c r="H2594" t="s">
        <v>1541</v>
      </c>
      <c r="I2594" s="2">
        <v>48</v>
      </c>
      <c r="J2594" s="2">
        <v>0</v>
      </c>
      <c r="K2594" s="2" t="s">
        <v>863</v>
      </c>
      <c r="L2594" s="43" t="s">
        <v>1004</v>
      </c>
      <c r="P2594" s="41">
        <v>31</v>
      </c>
      <c r="Q2594" s="41">
        <v>10</v>
      </c>
      <c r="R2594" s="41">
        <v>70</v>
      </c>
      <c r="S2594" t="s">
        <v>3321</v>
      </c>
      <c r="AH2594" t="s">
        <v>359</v>
      </c>
    </row>
    <row r="2595" spans="1:34" ht="15.75">
      <c r="A2595" s="29">
        <f aca="true" t="shared" si="42" ref="A2595:A2626">I2595+J2595*20*X2595</f>
        <v>5000</v>
      </c>
      <c r="B2595" s="2">
        <v>733</v>
      </c>
      <c r="C2595" s="2">
        <v>3</v>
      </c>
      <c r="D2595" s="2">
        <v>1817</v>
      </c>
      <c r="E2595">
        <v>9340</v>
      </c>
      <c r="H2595" s="2" t="s">
        <v>1540</v>
      </c>
      <c r="I2595" s="2">
        <v>0</v>
      </c>
      <c r="J2595" s="2">
        <v>500</v>
      </c>
      <c r="K2595" s="2" t="s">
        <v>863</v>
      </c>
      <c r="L2595" s="43" t="s">
        <v>4949</v>
      </c>
      <c r="P2595" s="41">
        <v>28</v>
      </c>
      <c r="Q2595" s="41">
        <v>11</v>
      </c>
      <c r="R2595" s="41" t="s">
        <v>868</v>
      </c>
      <c r="S2595" t="s">
        <v>3321</v>
      </c>
      <c r="X2595">
        <v>0.5</v>
      </c>
      <c r="Y2595" t="s">
        <v>2886</v>
      </c>
      <c r="AH2595" t="s">
        <v>359</v>
      </c>
    </row>
    <row r="2596" spans="1:34" ht="15.75">
      <c r="A2596" s="29">
        <f t="shared" si="42"/>
        <v>232</v>
      </c>
      <c r="B2596" s="2">
        <v>733</v>
      </c>
      <c r="C2596" s="2">
        <v>3</v>
      </c>
      <c r="D2596" s="2">
        <v>1817</v>
      </c>
      <c r="E2596">
        <v>9341</v>
      </c>
      <c r="H2596" s="2" t="s">
        <v>1541</v>
      </c>
      <c r="I2596" s="2">
        <v>232</v>
      </c>
      <c r="J2596" s="2">
        <v>0</v>
      </c>
      <c r="K2596" s="2" t="s">
        <v>863</v>
      </c>
      <c r="L2596" s="43" t="s">
        <v>5230</v>
      </c>
      <c r="P2596" s="41">
        <v>10</v>
      </c>
      <c r="Q2596" s="41">
        <v>12</v>
      </c>
      <c r="R2596" s="41">
        <v>27</v>
      </c>
      <c r="S2596" t="s">
        <v>3321</v>
      </c>
      <c r="AH2596" t="s">
        <v>359</v>
      </c>
    </row>
    <row r="2597" spans="1:34" ht="15.75">
      <c r="A2597" s="29">
        <f t="shared" si="42"/>
        <v>78</v>
      </c>
      <c r="B2597" s="2">
        <v>733</v>
      </c>
      <c r="C2597" s="2">
        <v>3</v>
      </c>
      <c r="D2597" s="2">
        <v>1817</v>
      </c>
      <c r="E2597">
        <v>9342</v>
      </c>
      <c r="H2597" s="2" t="s">
        <v>1540</v>
      </c>
      <c r="I2597" s="2">
        <v>78</v>
      </c>
      <c r="J2597" s="2">
        <v>0</v>
      </c>
      <c r="K2597" s="2" t="s">
        <v>863</v>
      </c>
      <c r="L2597" s="43" t="s">
        <v>1316</v>
      </c>
      <c r="P2597" s="41">
        <v>17</v>
      </c>
      <c r="Q2597" s="41">
        <v>2</v>
      </c>
      <c r="R2597" s="41">
        <v>39</v>
      </c>
      <c r="S2597" t="s">
        <v>3321</v>
      </c>
      <c r="AH2597" t="s">
        <v>359</v>
      </c>
    </row>
    <row r="2598" spans="1:34" ht="15.75">
      <c r="A2598" s="29">
        <f t="shared" si="42"/>
        <v>195</v>
      </c>
      <c r="B2598" s="2">
        <v>733</v>
      </c>
      <c r="C2598" s="2">
        <v>3</v>
      </c>
      <c r="D2598" s="2">
        <v>1817</v>
      </c>
      <c r="E2598">
        <v>9343</v>
      </c>
      <c r="H2598" s="2" t="s">
        <v>1541</v>
      </c>
      <c r="I2598" s="2">
        <v>195</v>
      </c>
      <c r="J2598" s="2">
        <v>0</v>
      </c>
      <c r="K2598" s="2" t="s">
        <v>863</v>
      </c>
      <c r="L2598" s="43" t="s">
        <v>1313</v>
      </c>
      <c r="P2598" s="41">
        <v>4</v>
      </c>
      <c r="Q2598" s="41">
        <v>5</v>
      </c>
      <c r="R2598" s="41">
        <v>85</v>
      </c>
      <c r="S2598" t="s">
        <v>1547</v>
      </c>
      <c r="AH2598" t="s">
        <v>359</v>
      </c>
    </row>
    <row r="2599" spans="1:34" ht="15.75">
      <c r="A2599" s="29">
        <f t="shared" si="42"/>
        <v>9377</v>
      </c>
      <c r="B2599" s="2">
        <v>733</v>
      </c>
      <c r="C2599" s="2">
        <v>3</v>
      </c>
      <c r="D2599" s="2">
        <v>1817</v>
      </c>
      <c r="E2599">
        <v>9345</v>
      </c>
      <c r="H2599" s="2" t="s">
        <v>1540</v>
      </c>
      <c r="I2599" s="2">
        <v>9377</v>
      </c>
      <c r="J2599" s="2">
        <v>0</v>
      </c>
      <c r="K2599" s="2" t="s">
        <v>863</v>
      </c>
      <c r="L2599" s="43" t="s">
        <v>1006</v>
      </c>
      <c r="P2599" s="41">
        <v>14</v>
      </c>
      <c r="Q2599" s="41">
        <v>5</v>
      </c>
      <c r="R2599" s="41">
        <v>68</v>
      </c>
      <c r="S2599" t="s">
        <v>3343</v>
      </c>
      <c r="AH2599" t="s">
        <v>359</v>
      </c>
    </row>
    <row r="2600" spans="1:34" ht="15.75">
      <c r="A2600" s="29">
        <f t="shared" si="42"/>
        <v>2187</v>
      </c>
      <c r="B2600" s="2">
        <v>733</v>
      </c>
      <c r="C2600" s="2">
        <v>3</v>
      </c>
      <c r="D2600" s="2">
        <v>1817</v>
      </c>
      <c r="E2600">
        <v>9346</v>
      </c>
      <c r="H2600" s="2" t="s">
        <v>1541</v>
      </c>
      <c r="I2600" s="2">
        <v>2187</v>
      </c>
      <c r="J2600" s="2">
        <v>0</v>
      </c>
      <c r="K2600" s="2" t="s">
        <v>863</v>
      </c>
      <c r="L2600" s="43" t="s">
        <v>1006</v>
      </c>
      <c r="P2600" s="41">
        <v>31</v>
      </c>
      <c r="Q2600" s="41">
        <v>7</v>
      </c>
      <c r="R2600" s="41">
        <v>64</v>
      </c>
      <c r="S2600" t="s">
        <v>3343</v>
      </c>
      <c r="AH2600" t="s">
        <v>359</v>
      </c>
    </row>
    <row r="2601" spans="1:34" ht="15.75">
      <c r="A2601" s="29">
        <f t="shared" si="42"/>
        <v>40</v>
      </c>
      <c r="B2601" s="2">
        <v>733</v>
      </c>
      <c r="C2601" s="2">
        <v>3</v>
      </c>
      <c r="D2601" s="2">
        <v>1817</v>
      </c>
      <c r="E2601">
        <v>9347</v>
      </c>
      <c r="H2601" s="2" t="s">
        <v>1541</v>
      </c>
      <c r="I2601" s="2">
        <v>40</v>
      </c>
      <c r="J2601" s="2">
        <v>0</v>
      </c>
      <c r="K2601" s="2" t="s">
        <v>863</v>
      </c>
      <c r="L2601" s="43" t="s">
        <v>2777</v>
      </c>
      <c r="P2601" s="41">
        <v>22</v>
      </c>
      <c r="Q2601" s="41">
        <v>7</v>
      </c>
      <c r="R2601" s="41">
        <v>43</v>
      </c>
      <c r="S2601" t="s">
        <v>3343</v>
      </c>
      <c r="AH2601" t="s">
        <v>359</v>
      </c>
    </row>
    <row r="2602" spans="1:34" ht="15.75">
      <c r="A2602" s="29">
        <f t="shared" si="42"/>
        <v>100</v>
      </c>
      <c r="B2602" s="2">
        <v>733</v>
      </c>
      <c r="C2602" s="2">
        <v>3</v>
      </c>
      <c r="D2602" s="2">
        <v>1817</v>
      </c>
      <c r="E2602">
        <v>9348</v>
      </c>
      <c r="H2602" s="2" t="s">
        <v>1540</v>
      </c>
      <c r="I2602" s="2">
        <v>100</v>
      </c>
      <c r="J2602" s="2">
        <v>0</v>
      </c>
      <c r="K2602" s="2" t="s">
        <v>863</v>
      </c>
      <c r="L2602" s="43" t="s">
        <v>2777</v>
      </c>
      <c r="P2602" s="41">
        <v>2</v>
      </c>
      <c r="Q2602" s="41">
        <v>7</v>
      </c>
      <c r="R2602" s="41">
        <v>55</v>
      </c>
      <c r="S2602" t="s">
        <v>3321</v>
      </c>
      <c r="AH2602" t="s">
        <v>359</v>
      </c>
    </row>
    <row r="2603" spans="1:34" ht="15.75">
      <c r="A2603" s="29">
        <f t="shared" si="42"/>
        <v>96</v>
      </c>
      <c r="B2603" s="2">
        <v>733</v>
      </c>
      <c r="C2603" s="2">
        <v>3</v>
      </c>
      <c r="D2603" s="2">
        <v>1817</v>
      </c>
      <c r="E2603">
        <v>9349</v>
      </c>
      <c r="H2603" s="2" t="s">
        <v>1540</v>
      </c>
      <c r="I2603" s="2">
        <v>96</v>
      </c>
      <c r="J2603" s="2">
        <v>0</v>
      </c>
      <c r="K2603" s="2" t="s">
        <v>863</v>
      </c>
      <c r="L2603" s="43" t="s">
        <v>1369</v>
      </c>
      <c r="P2603" s="41">
        <v>9</v>
      </c>
      <c r="Q2603" s="41">
        <v>1</v>
      </c>
      <c r="R2603" s="41">
        <v>48</v>
      </c>
      <c r="S2603" t="s">
        <v>3321</v>
      </c>
      <c r="AH2603" t="s">
        <v>359</v>
      </c>
    </row>
    <row r="2604" spans="1:34" ht="15.75">
      <c r="A2604" s="29">
        <f t="shared" si="42"/>
        <v>147</v>
      </c>
      <c r="B2604" s="2">
        <v>733</v>
      </c>
      <c r="C2604" s="2">
        <v>3</v>
      </c>
      <c r="D2604" s="2">
        <v>1817</v>
      </c>
      <c r="E2604">
        <v>9350</v>
      </c>
      <c r="H2604" s="2" t="s">
        <v>1540</v>
      </c>
      <c r="I2604" s="2">
        <v>147</v>
      </c>
      <c r="J2604" s="2">
        <v>0</v>
      </c>
      <c r="K2604" s="2" t="s">
        <v>863</v>
      </c>
      <c r="L2604" s="43" t="s">
        <v>2370</v>
      </c>
      <c r="P2604" s="41">
        <v>25</v>
      </c>
      <c r="Q2604" s="41">
        <v>5</v>
      </c>
      <c r="R2604" s="41">
        <v>75</v>
      </c>
      <c r="S2604" t="s">
        <v>3329</v>
      </c>
      <c r="AH2604" t="s">
        <v>359</v>
      </c>
    </row>
    <row r="2605" spans="1:34" ht="15.75">
      <c r="A2605" s="29">
        <f t="shared" si="42"/>
        <v>167</v>
      </c>
      <c r="B2605" s="2">
        <v>733</v>
      </c>
      <c r="C2605" s="2">
        <v>3</v>
      </c>
      <c r="D2605" s="2">
        <v>1817</v>
      </c>
      <c r="E2605">
        <v>9351</v>
      </c>
      <c r="H2605" s="2" t="s">
        <v>1540</v>
      </c>
      <c r="I2605" s="2">
        <v>167</v>
      </c>
      <c r="J2605" s="2">
        <v>0</v>
      </c>
      <c r="K2605" s="2" t="s">
        <v>863</v>
      </c>
      <c r="L2605" s="43" t="s">
        <v>5701</v>
      </c>
      <c r="P2605" s="41">
        <v>1</v>
      </c>
      <c r="Q2605" s="41">
        <v>9</v>
      </c>
      <c r="R2605" s="41">
        <v>60</v>
      </c>
      <c r="S2605" t="s">
        <v>3321</v>
      </c>
      <c r="AH2605" t="s">
        <v>359</v>
      </c>
    </row>
    <row r="2606" spans="1:34" ht="15.75">
      <c r="A2606" s="29">
        <f t="shared" si="42"/>
        <v>63</v>
      </c>
      <c r="B2606" s="2">
        <v>733</v>
      </c>
      <c r="C2606" s="2">
        <v>3</v>
      </c>
      <c r="D2606" s="2">
        <v>1817</v>
      </c>
      <c r="E2606">
        <v>9352</v>
      </c>
      <c r="H2606" s="2" t="s">
        <v>1540</v>
      </c>
      <c r="I2606" s="2">
        <v>63</v>
      </c>
      <c r="J2606" s="2">
        <v>0</v>
      </c>
      <c r="K2606" s="2" t="s">
        <v>863</v>
      </c>
      <c r="L2606" s="43" t="s">
        <v>5702</v>
      </c>
      <c r="P2606" s="41">
        <v>1</v>
      </c>
      <c r="Q2606" s="41">
        <v>3</v>
      </c>
      <c r="R2606" s="41">
        <v>65</v>
      </c>
      <c r="S2606" t="s">
        <v>3321</v>
      </c>
      <c r="AH2606" t="s">
        <v>359</v>
      </c>
    </row>
    <row r="2607" spans="1:34" ht="15.75">
      <c r="A2607" s="29">
        <f t="shared" si="42"/>
        <v>41316</v>
      </c>
      <c r="B2607" s="8">
        <v>734</v>
      </c>
      <c r="C2607" s="8">
        <v>3</v>
      </c>
      <c r="D2607" s="8">
        <v>1817</v>
      </c>
      <c r="E2607">
        <v>9354</v>
      </c>
      <c r="F2607" s="9"/>
      <c r="G2607" s="7"/>
      <c r="H2607" s="9" t="s">
        <v>1540</v>
      </c>
      <c r="I2607" s="8">
        <f>26715+14601</f>
        <v>41316</v>
      </c>
      <c r="J2607" s="8">
        <v>0</v>
      </c>
      <c r="K2607" s="2" t="s">
        <v>884</v>
      </c>
      <c r="L2607" s="43" t="s">
        <v>2887</v>
      </c>
      <c r="M2607" s="41" t="s">
        <v>2891</v>
      </c>
      <c r="N2607" s="41" t="s">
        <v>2892</v>
      </c>
      <c r="O2607" s="41" t="s">
        <v>2893</v>
      </c>
      <c r="P2607" s="41">
        <v>14</v>
      </c>
      <c r="Q2607" s="41">
        <v>8</v>
      </c>
      <c r="S2607" t="s">
        <v>2894</v>
      </c>
      <c r="T2607" t="s">
        <v>2907</v>
      </c>
      <c r="V2607" t="s">
        <v>2908</v>
      </c>
      <c r="AH2607" t="s">
        <v>359</v>
      </c>
    </row>
    <row r="2608" spans="1:34" ht="15.75">
      <c r="A2608" s="29">
        <f t="shared" si="42"/>
        <v>488</v>
      </c>
      <c r="B2608" s="2">
        <v>734</v>
      </c>
      <c r="C2608" s="2">
        <v>3</v>
      </c>
      <c r="D2608" s="2">
        <v>1817</v>
      </c>
      <c r="E2608">
        <v>9355</v>
      </c>
      <c r="G2608" s="1"/>
      <c r="H2608" t="s">
        <v>1540</v>
      </c>
      <c r="I2608" s="2">
        <v>488</v>
      </c>
      <c r="J2608" s="2">
        <v>0</v>
      </c>
      <c r="K2608" s="2" t="s">
        <v>884</v>
      </c>
      <c r="L2608" s="43" t="s">
        <v>2375</v>
      </c>
      <c r="P2608" s="41">
        <v>31</v>
      </c>
      <c r="Q2608" s="41">
        <v>3</v>
      </c>
      <c r="R2608" s="41">
        <v>75</v>
      </c>
      <c r="S2608" t="s">
        <v>3329</v>
      </c>
      <c r="AH2608" t="s">
        <v>359</v>
      </c>
    </row>
    <row r="2609" spans="1:34" ht="15.75">
      <c r="A2609" s="29">
        <f t="shared" si="42"/>
        <v>250</v>
      </c>
      <c r="B2609" s="2">
        <v>734</v>
      </c>
      <c r="C2609" s="2">
        <v>3</v>
      </c>
      <c r="D2609" s="2">
        <v>1817</v>
      </c>
      <c r="E2609">
        <v>9356</v>
      </c>
      <c r="G2609" s="1"/>
      <c r="H2609" t="s">
        <v>1540</v>
      </c>
      <c r="I2609" s="2">
        <v>250</v>
      </c>
      <c r="J2609" s="2">
        <v>0</v>
      </c>
      <c r="K2609" s="2" t="s">
        <v>884</v>
      </c>
      <c r="L2609" s="43" t="s">
        <v>5705</v>
      </c>
      <c r="P2609" s="41">
        <v>11</v>
      </c>
      <c r="Q2609" s="41">
        <v>8</v>
      </c>
      <c r="R2609" s="41">
        <v>68</v>
      </c>
      <c r="S2609" t="s">
        <v>3321</v>
      </c>
      <c r="AH2609" t="s">
        <v>359</v>
      </c>
    </row>
    <row r="2610" spans="1:34" ht="15.75">
      <c r="A2610" s="29">
        <f t="shared" si="42"/>
        <v>3615</v>
      </c>
      <c r="B2610" s="2">
        <v>734</v>
      </c>
      <c r="C2610" s="2">
        <v>3</v>
      </c>
      <c r="D2610" s="2">
        <v>1817</v>
      </c>
      <c r="E2610">
        <v>9357</v>
      </c>
      <c r="G2610" s="1"/>
      <c r="H2610" t="s">
        <v>1541</v>
      </c>
      <c r="I2610" s="2">
        <v>3615</v>
      </c>
      <c r="J2610" s="2">
        <v>0</v>
      </c>
      <c r="K2610" s="2" t="s">
        <v>884</v>
      </c>
      <c r="L2610" s="43" t="s">
        <v>2909</v>
      </c>
      <c r="P2610" s="41">
        <v>5</v>
      </c>
      <c r="Q2610" s="41">
        <v>9</v>
      </c>
      <c r="R2610" s="41">
        <v>19</v>
      </c>
      <c r="S2610" t="s">
        <v>3343</v>
      </c>
      <c r="AH2610" t="s">
        <v>359</v>
      </c>
    </row>
    <row r="2611" spans="1:34" ht="15.75">
      <c r="A2611" s="29">
        <f t="shared" si="42"/>
        <v>85</v>
      </c>
      <c r="B2611" s="2">
        <v>734</v>
      </c>
      <c r="C2611" s="2">
        <v>3</v>
      </c>
      <c r="D2611" s="2">
        <v>1817</v>
      </c>
      <c r="E2611">
        <v>9358</v>
      </c>
      <c r="G2611" s="1"/>
      <c r="I2611" s="2">
        <v>85</v>
      </c>
      <c r="J2611" s="2">
        <v>0</v>
      </c>
      <c r="K2611" s="2" t="s">
        <v>884</v>
      </c>
      <c r="L2611" s="43" t="s">
        <v>2677</v>
      </c>
      <c r="P2611" s="41">
        <v>27</v>
      </c>
      <c r="Q2611" s="41">
        <v>3</v>
      </c>
      <c r="R2611" s="41">
        <v>68</v>
      </c>
      <c r="S2611" t="s">
        <v>3321</v>
      </c>
      <c r="AH2611" t="s">
        <v>359</v>
      </c>
    </row>
    <row r="2612" spans="1:34" ht="15.75">
      <c r="A2612" s="29">
        <f t="shared" si="42"/>
        <v>124140</v>
      </c>
      <c r="B2612" s="8">
        <v>734</v>
      </c>
      <c r="C2612" s="2">
        <v>3</v>
      </c>
      <c r="D2612" s="2">
        <v>1817</v>
      </c>
      <c r="E2612">
        <v>9359</v>
      </c>
      <c r="F2612" s="9"/>
      <c r="G2612" s="9"/>
      <c r="H2612" s="8" t="s">
        <v>1540</v>
      </c>
      <c r="I2612" s="8">
        <v>72140</v>
      </c>
      <c r="J2612" s="8">
        <v>2600</v>
      </c>
      <c r="K2612" s="2" t="s">
        <v>884</v>
      </c>
      <c r="L2612" s="43" t="s">
        <v>2910</v>
      </c>
      <c r="M2612" s="43" t="s">
        <v>2911</v>
      </c>
      <c r="N2612" s="43" t="s">
        <v>851</v>
      </c>
      <c r="O2612" s="43" t="s">
        <v>2912</v>
      </c>
      <c r="P2612" s="41">
        <v>11</v>
      </c>
      <c r="Q2612" s="41">
        <v>8</v>
      </c>
      <c r="R2612" s="41">
        <v>65</v>
      </c>
      <c r="S2612" t="s">
        <v>2913</v>
      </c>
      <c r="T2612" t="s">
        <v>2914</v>
      </c>
      <c r="V2612" t="s">
        <v>2403</v>
      </c>
      <c r="X2612">
        <v>1</v>
      </c>
      <c r="Y2612" t="s">
        <v>2912</v>
      </c>
      <c r="AH2612" t="s">
        <v>359</v>
      </c>
    </row>
    <row r="2613" spans="1:34" ht="15.75">
      <c r="A2613" s="29">
        <f t="shared" si="42"/>
        <v>2988</v>
      </c>
      <c r="B2613" s="2">
        <v>734</v>
      </c>
      <c r="C2613" s="2">
        <v>3</v>
      </c>
      <c r="D2613" s="2">
        <v>1817</v>
      </c>
      <c r="E2613">
        <v>9361</v>
      </c>
      <c r="G2613" s="1"/>
      <c r="H2613" t="s">
        <v>1541</v>
      </c>
      <c r="I2613" s="2">
        <v>2988</v>
      </c>
      <c r="J2613" s="2">
        <v>0</v>
      </c>
      <c r="K2613" s="2" t="s">
        <v>884</v>
      </c>
      <c r="L2613" s="43" t="s">
        <v>3641</v>
      </c>
      <c r="P2613" s="41">
        <v>27</v>
      </c>
      <c r="Q2613" s="41">
        <v>12</v>
      </c>
      <c r="R2613" s="41">
        <v>84</v>
      </c>
      <c r="S2613" t="s">
        <v>3329</v>
      </c>
      <c r="AH2613" t="s">
        <v>359</v>
      </c>
    </row>
    <row r="2614" spans="1:34" ht="15.75">
      <c r="A2614" s="29">
        <f t="shared" si="42"/>
        <v>900</v>
      </c>
      <c r="B2614" s="2">
        <v>734</v>
      </c>
      <c r="C2614" s="2">
        <v>3</v>
      </c>
      <c r="D2614" s="2">
        <v>1817</v>
      </c>
      <c r="E2614">
        <v>9362</v>
      </c>
      <c r="G2614" s="1"/>
      <c r="H2614" t="s">
        <v>1541</v>
      </c>
      <c r="I2614" s="2">
        <v>900</v>
      </c>
      <c r="J2614" s="2">
        <v>0</v>
      </c>
      <c r="K2614" s="2" t="s">
        <v>884</v>
      </c>
      <c r="L2614" s="43" t="s">
        <v>1331</v>
      </c>
      <c r="P2614" s="41">
        <v>19</v>
      </c>
      <c r="Q2614" s="41">
        <v>3</v>
      </c>
      <c r="R2614" s="41">
        <v>63</v>
      </c>
      <c r="S2614" t="s">
        <v>3321</v>
      </c>
      <c r="AH2614" t="s">
        <v>359</v>
      </c>
    </row>
    <row r="2615" spans="1:34" ht="15.75">
      <c r="A2615" s="29">
        <f t="shared" si="42"/>
        <v>296</v>
      </c>
      <c r="B2615" s="2">
        <v>734</v>
      </c>
      <c r="C2615" s="2">
        <v>3</v>
      </c>
      <c r="D2615" s="2">
        <v>1817</v>
      </c>
      <c r="E2615">
        <v>9363</v>
      </c>
      <c r="G2615" s="1"/>
      <c r="H2615" t="s">
        <v>1541</v>
      </c>
      <c r="I2615" s="2">
        <v>296</v>
      </c>
      <c r="J2615" s="2">
        <v>0</v>
      </c>
      <c r="K2615" s="2" t="s">
        <v>884</v>
      </c>
      <c r="L2615" s="43" t="s">
        <v>3358</v>
      </c>
      <c r="P2615" s="41">
        <v>23</v>
      </c>
      <c r="Q2615" s="41">
        <v>5</v>
      </c>
      <c r="R2615" s="41">
        <v>62</v>
      </c>
      <c r="S2615" t="s">
        <v>3329</v>
      </c>
      <c r="AH2615" t="s">
        <v>359</v>
      </c>
    </row>
    <row r="2616" spans="1:34" ht="15.75">
      <c r="A2616" s="29">
        <f t="shared" si="42"/>
        <v>2198</v>
      </c>
      <c r="B2616" s="2">
        <v>735</v>
      </c>
      <c r="C2616" s="2">
        <v>3</v>
      </c>
      <c r="D2616" s="2">
        <v>1817</v>
      </c>
      <c r="E2616">
        <v>9364</v>
      </c>
      <c r="H2616" t="s">
        <v>1540</v>
      </c>
      <c r="I2616" s="1">
        <f>1292+906</f>
        <v>2198</v>
      </c>
      <c r="J2616" s="1">
        <v>0</v>
      </c>
      <c r="K2616" s="2" t="s">
        <v>884</v>
      </c>
      <c r="L2616" s="43" t="s">
        <v>5858</v>
      </c>
      <c r="P2616" s="41">
        <v>21</v>
      </c>
      <c r="Q2616" s="41">
        <v>12</v>
      </c>
      <c r="R2616" s="41">
        <v>63</v>
      </c>
      <c r="S2616" t="s">
        <v>3321</v>
      </c>
      <c r="AH2616" t="s">
        <v>359</v>
      </c>
    </row>
    <row r="2617" spans="1:34" ht="15.75">
      <c r="A2617" s="29">
        <f t="shared" si="42"/>
        <v>5896</v>
      </c>
      <c r="B2617" s="2">
        <v>735</v>
      </c>
      <c r="C2617" s="2">
        <v>3</v>
      </c>
      <c r="D2617" s="2">
        <v>1817</v>
      </c>
      <c r="E2617">
        <v>9365</v>
      </c>
      <c r="H2617" t="s">
        <v>1541</v>
      </c>
      <c r="I2617" s="1">
        <v>5896</v>
      </c>
      <c r="J2617" s="1">
        <v>0</v>
      </c>
      <c r="K2617" s="2" t="s">
        <v>884</v>
      </c>
      <c r="L2617" s="43" t="s">
        <v>1338</v>
      </c>
      <c r="P2617" s="41">
        <v>6</v>
      </c>
      <c r="Q2617" s="41">
        <v>8</v>
      </c>
      <c r="R2617" s="41">
        <v>45</v>
      </c>
      <c r="S2617" t="s">
        <v>3321</v>
      </c>
      <c r="AH2617" t="s">
        <v>359</v>
      </c>
    </row>
    <row r="2618" spans="1:34" ht="15.75">
      <c r="A2618" s="29">
        <f t="shared" si="42"/>
        <v>1501</v>
      </c>
      <c r="B2618" s="2">
        <v>735</v>
      </c>
      <c r="C2618" s="2">
        <v>3</v>
      </c>
      <c r="D2618" s="2">
        <v>1817</v>
      </c>
      <c r="E2618">
        <v>9366</v>
      </c>
      <c r="H2618" t="s">
        <v>1540</v>
      </c>
      <c r="I2618" s="1">
        <v>1501</v>
      </c>
      <c r="J2618" s="1">
        <v>0</v>
      </c>
      <c r="K2618" s="2" t="s">
        <v>884</v>
      </c>
      <c r="L2618" s="43" t="s">
        <v>3656</v>
      </c>
      <c r="P2618" s="41">
        <v>15</v>
      </c>
      <c r="Q2618" s="41">
        <v>1</v>
      </c>
      <c r="R2618" s="41">
        <v>63</v>
      </c>
      <c r="S2618" t="s">
        <v>3321</v>
      </c>
      <c r="AH2618" t="s">
        <v>359</v>
      </c>
    </row>
    <row r="2619" spans="1:34" ht="15.75">
      <c r="A2619" s="29">
        <f t="shared" si="42"/>
        <v>10400</v>
      </c>
      <c r="B2619" s="2">
        <v>735</v>
      </c>
      <c r="C2619" s="2">
        <v>3</v>
      </c>
      <c r="D2619" s="2">
        <v>1817</v>
      </c>
      <c r="E2619">
        <v>9367</v>
      </c>
      <c r="H2619" t="s">
        <v>1541</v>
      </c>
      <c r="I2619" s="1">
        <v>10400</v>
      </c>
      <c r="J2619" s="1">
        <v>0</v>
      </c>
      <c r="K2619" s="2" t="s">
        <v>884</v>
      </c>
      <c r="L2619" s="43" t="s">
        <v>5779</v>
      </c>
      <c r="P2619" s="41">
        <v>30</v>
      </c>
      <c r="Q2619" s="41">
        <v>9</v>
      </c>
      <c r="R2619" s="41" t="s">
        <v>868</v>
      </c>
      <c r="S2619" t="s">
        <v>3329</v>
      </c>
      <c r="AH2619" t="s">
        <v>359</v>
      </c>
    </row>
    <row r="2620" spans="1:34" ht="15.75">
      <c r="A2620" s="29">
        <f t="shared" si="42"/>
        <v>33</v>
      </c>
      <c r="B2620" s="2">
        <v>735</v>
      </c>
      <c r="C2620" s="2">
        <v>3</v>
      </c>
      <c r="D2620" s="2">
        <v>1817</v>
      </c>
      <c r="E2620">
        <v>9368</v>
      </c>
      <c r="H2620" t="s">
        <v>1541</v>
      </c>
      <c r="I2620" s="1">
        <v>33</v>
      </c>
      <c r="J2620" s="1">
        <v>0</v>
      </c>
      <c r="K2620" s="2" t="s">
        <v>884</v>
      </c>
      <c r="L2620" s="43" t="s">
        <v>5778</v>
      </c>
      <c r="P2620" s="41">
        <v>31</v>
      </c>
      <c r="Q2620" s="41">
        <v>3</v>
      </c>
      <c r="R2620" s="41">
        <v>71</v>
      </c>
      <c r="S2620" t="s">
        <v>3343</v>
      </c>
      <c r="AH2620" t="s">
        <v>359</v>
      </c>
    </row>
    <row r="2621" spans="1:34" ht="15.75">
      <c r="A2621" s="29">
        <f t="shared" si="42"/>
        <v>61</v>
      </c>
      <c r="B2621" s="2">
        <v>735</v>
      </c>
      <c r="C2621" s="2">
        <v>3</v>
      </c>
      <c r="D2621" s="2">
        <v>1817</v>
      </c>
      <c r="E2621">
        <v>9369</v>
      </c>
      <c r="H2621" t="s">
        <v>1540</v>
      </c>
      <c r="I2621" s="1">
        <v>61</v>
      </c>
      <c r="J2621" s="1">
        <v>0</v>
      </c>
      <c r="K2621" s="2" t="s">
        <v>884</v>
      </c>
      <c r="L2621" s="43" t="s">
        <v>5781</v>
      </c>
      <c r="P2621" s="41">
        <v>22</v>
      </c>
      <c r="Q2621" s="41">
        <v>3</v>
      </c>
      <c r="R2621" s="41">
        <v>73</v>
      </c>
      <c r="S2621" t="s">
        <v>1547</v>
      </c>
      <c r="AH2621" t="s">
        <v>359</v>
      </c>
    </row>
    <row r="2622" spans="1:34" ht="15.75">
      <c r="A2622" s="29" t="e">
        <f t="shared" si="42"/>
        <v>#VALUE!</v>
      </c>
      <c r="B2622" s="2">
        <v>735</v>
      </c>
      <c r="C2622" s="2">
        <v>3</v>
      </c>
      <c r="D2622" s="2">
        <v>1817</v>
      </c>
      <c r="E2622">
        <v>9370</v>
      </c>
      <c r="H2622" t="s">
        <v>1540</v>
      </c>
      <c r="I2622" s="1" t="s">
        <v>1547</v>
      </c>
      <c r="J2622" s="1" t="s">
        <v>1547</v>
      </c>
      <c r="K2622" s="2" t="s">
        <v>884</v>
      </c>
      <c r="L2622" s="43" t="s">
        <v>2920</v>
      </c>
      <c r="M2622" s="41" t="s">
        <v>2921</v>
      </c>
      <c r="V2622" t="s">
        <v>612</v>
      </c>
      <c r="X2622" s="47">
        <v>1</v>
      </c>
      <c r="AA2622" t="s">
        <v>2922</v>
      </c>
      <c r="AH2622" t="s">
        <v>359</v>
      </c>
    </row>
    <row r="2623" spans="1:34" ht="15.75">
      <c r="A2623" s="29">
        <f t="shared" si="42"/>
        <v>17223</v>
      </c>
      <c r="B2623" s="8">
        <v>735</v>
      </c>
      <c r="C2623" s="8">
        <v>3</v>
      </c>
      <c r="D2623" s="8">
        <v>1817</v>
      </c>
      <c r="E2623">
        <v>9371</v>
      </c>
      <c r="F2623" s="9"/>
      <c r="G2623" s="9"/>
      <c r="H2623" s="9" t="s">
        <v>1540</v>
      </c>
      <c r="I2623" s="7">
        <v>17223</v>
      </c>
      <c r="J2623" s="7">
        <v>0</v>
      </c>
      <c r="K2623" s="2" t="s">
        <v>884</v>
      </c>
      <c r="L2623" s="43" t="s">
        <v>2923</v>
      </c>
      <c r="M2623" s="41" t="s">
        <v>1512</v>
      </c>
      <c r="N2623" s="41" t="s">
        <v>2924</v>
      </c>
      <c r="O2623" s="41" t="s">
        <v>2925</v>
      </c>
      <c r="P2623" s="41">
        <v>22</v>
      </c>
      <c r="Q2623" s="41">
        <v>10</v>
      </c>
      <c r="R2623" s="41" t="s">
        <v>868</v>
      </c>
      <c r="S2623" t="s">
        <v>2927</v>
      </c>
      <c r="T2623" t="s">
        <v>2928</v>
      </c>
      <c r="U2623" t="s">
        <v>2926</v>
      </c>
      <c r="V2623" t="s">
        <v>703</v>
      </c>
      <c r="AH2623" t="s">
        <v>359</v>
      </c>
    </row>
    <row r="2624" spans="1:34" ht="15.75">
      <c r="A2624" s="29">
        <f t="shared" si="42"/>
        <v>2335</v>
      </c>
      <c r="B2624" s="2">
        <v>735</v>
      </c>
      <c r="C2624" s="2">
        <v>3</v>
      </c>
      <c r="D2624" s="2">
        <v>1817</v>
      </c>
      <c r="E2624">
        <v>9372</v>
      </c>
      <c r="H2624" t="s">
        <v>1540</v>
      </c>
      <c r="I2624" s="1">
        <f>52+2283</f>
        <v>2335</v>
      </c>
      <c r="J2624" s="1">
        <v>0</v>
      </c>
      <c r="K2624" s="2" t="s">
        <v>884</v>
      </c>
      <c r="L2624" s="43" t="s">
        <v>2378</v>
      </c>
      <c r="P2624" s="41">
        <v>27</v>
      </c>
      <c r="Q2624" s="41">
        <v>9</v>
      </c>
      <c r="R2624" s="41">
        <v>43</v>
      </c>
      <c r="S2624" t="s">
        <v>3321</v>
      </c>
      <c r="AH2624" t="s">
        <v>359</v>
      </c>
    </row>
    <row r="2625" spans="1:34" ht="15.75">
      <c r="A2625" s="29">
        <f t="shared" si="42"/>
        <v>363</v>
      </c>
      <c r="B2625" s="2">
        <v>735</v>
      </c>
      <c r="C2625" s="2">
        <v>3</v>
      </c>
      <c r="D2625" s="2">
        <v>1817</v>
      </c>
      <c r="E2625">
        <v>9373</v>
      </c>
      <c r="H2625" t="s">
        <v>1540</v>
      </c>
      <c r="I2625" s="1">
        <v>363</v>
      </c>
      <c r="J2625" s="1">
        <v>0</v>
      </c>
      <c r="K2625" s="2" t="s">
        <v>884</v>
      </c>
      <c r="L2625" s="43" t="s">
        <v>2378</v>
      </c>
      <c r="P2625" s="41">
        <v>18</v>
      </c>
      <c r="Q2625" s="41">
        <v>12</v>
      </c>
      <c r="R2625" s="41">
        <v>44</v>
      </c>
      <c r="S2625" t="s">
        <v>3321</v>
      </c>
      <c r="AH2625" t="s">
        <v>359</v>
      </c>
    </row>
    <row r="2626" spans="1:34" ht="15.75">
      <c r="A2626" s="29">
        <f t="shared" si="42"/>
        <v>33</v>
      </c>
      <c r="B2626" s="2">
        <v>735</v>
      </c>
      <c r="C2626" s="2">
        <v>3</v>
      </c>
      <c r="D2626" s="2">
        <v>1817</v>
      </c>
      <c r="E2626">
        <v>9374</v>
      </c>
      <c r="H2626" t="s">
        <v>1541</v>
      </c>
      <c r="I2626" s="1">
        <v>33</v>
      </c>
      <c r="J2626" s="1">
        <v>0</v>
      </c>
      <c r="K2626" s="2" t="s">
        <v>884</v>
      </c>
      <c r="L2626" s="43" t="s">
        <v>5785</v>
      </c>
      <c r="P2626" s="41">
        <v>3</v>
      </c>
      <c r="Q2626" s="41">
        <v>5</v>
      </c>
      <c r="R2626" s="41">
        <v>87</v>
      </c>
      <c r="S2626" t="s">
        <v>3329</v>
      </c>
      <c r="AH2626" t="s">
        <v>359</v>
      </c>
    </row>
    <row r="2627" spans="1:34" ht="15.75">
      <c r="A2627" s="29">
        <f aca="true" t="shared" si="43" ref="A2627:A2658">I2627+J2627*20*X2627</f>
        <v>80</v>
      </c>
      <c r="B2627" s="2">
        <v>736</v>
      </c>
      <c r="C2627" s="2">
        <v>3</v>
      </c>
      <c r="D2627" s="2">
        <v>1817</v>
      </c>
      <c r="E2627">
        <v>9375</v>
      </c>
      <c r="G2627" s="1"/>
      <c r="H2627" t="s">
        <v>1540</v>
      </c>
      <c r="I2627" s="2">
        <v>80</v>
      </c>
      <c r="J2627" s="2">
        <v>0</v>
      </c>
      <c r="K2627" s="2" t="s">
        <v>884</v>
      </c>
      <c r="L2627" s="43" t="s">
        <v>5787</v>
      </c>
      <c r="P2627" s="41">
        <v>27</v>
      </c>
      <c r="Q2627" s="41">
        <v>4</v>
      </c>
      <c r="R2627" s="41">
        <v>47</v>
      </c>
      <c r="S2627" t="s">
        <v>3321</v>
      </c>
      <c r="AH2627" t="s">
        <v>359</v>
      </c>
    </row>
    <row r="2628" spans="1:34" ht="15.75">
      <c r="A2628" s="29">
        <f t="shared" si="43"/>
        <v>164</v>
      </c>
      <c r="B2628" s="2">
        <v>736</v>
      </c>
      <c r="C2628" s="2">
        <v>3</v>
      </c>
      <c r="D2628" s="2">
        <v>1817</v>
      </c>
      <c r="E2628">
        <v>9376</v>
      </c>
      <c r="G2628" s="1"/>
      <c r="H2628" t="s">
        <v>1540</v>
      </c>
      <c r="I2628" s="2">
        <v>164</v>
      </c>
      <c r="J2628" s="2">
        <v>0</v>
      </c>
      <c r="K2628" s="2" t="s">
        <v>884</v>
      </c>
      <c r="L2628" s="43" t="s">
        <v>5787</v>
      </c>
      <c r="P2628" s="41">
        <v>25</v>
      </c>
      <c r="Q2628" s="41">
        <v>6</v>
      </c>
      <c r="R2628" s="41">
        <v>42</v>
      </c>
      <c r="S2628" t="s">
        <v>3321</v>
      </c>
      <c r="AH2628" t="s">
        <v>359</v>
      </c>
    </row>
    <row r="2629" spans="1:34" ht="15.75">
      <c r="A2629" s="29">
        <f t="shared" si="43"/>
        <v>349</v>
      </c>
      <c r="B2629" s="2">
        <v>736</v>
      </c>
      <c r="C2629" s="2">
        <v>3</v>
      </c>
      <c r="D2629" s="2">
        <v>1817</v>
      </c>
      <c r="E2629">
        <v>9377</v>
      </c>
      <c r="G2629" s="1"/>
      <c r="H2629" t="s">
        <v>1540</v>
      </c>
      <c r="I2629" s="2">
        <v>349</v>
      </c>
      <c r="J2629" s="2">
        <v>0</v>
      </c>
      <c r="K2629" s="2" t="s">
        <v>884</v>
      </c>
      <c r="L2629" s="43" t="s">
        <v>1332</v>
      </c>
      <c r="P2629" s="41">
        <v>19</v>
      </c>
      <c r="Q2629" s="41">
        <v>1</v>
      </c>
      <c r="R2629" s="41">
        <v>87</v>
      </c>
      <c r="S2629" t="s">
        <v>1547</v>
      </c>
      <c r="AH2629" t="s">
        <v>359</v>
      </c>
    </row>
    <row r="2630" spans="1:34" ht="15.75">
      <c r="A2630" s="29">
        <f t="shared" si="43"/>
        <v>1067</v>
      </c>
      <c r="B2630" s="2">
        <v>736</v>
      </c>
      <c r="C2630" s="2">
        <v>3</v>
      </c>
      <c r="D2630" s="2">
        <v>1817</v>
      </c>
      <c r="E2630">
        <v>9378</v>
      </c>
      <c r="G2630" s="1"/>
      <c r="H2630" t="s">
        <v>1541</v>
      </c>
      <c r="I2630" s="2">
        <v>1067</v>
      </c>
      <c r="J2630" s="2">
        <v>0</v>
      </c>
      <c r="K2630" s="2" t="s">
        <v>884</v>
      </c>
      <c r="L2630" s="43" t="s">
        <v>1332</v>
      </c>
      <c r="P2630" s="41">
        <v>31</v>
      </c>
      <c r="Q2630" s="41">
        <v>10</v>
      </c>
      <c r="R2630" s="41" t="s">
        <v>868</v>
      </c>
      <c r="S2630" t="s">
        <v>3329</v>
      </c>
      <c r="AH2630" t="s">
        <v>359</v>
      </c>
    </row>
    <row r="2631" spans="1:34" ht="15.75">
      <c r="A2631" s="29">
        <f t="shared" si="43"/>
        <v>4193</v>
      </c>
      <c r="B2631" s="2">
        <v>736</v>
      </c>
      <c r="C2631" s="2">
        <v>3</v>
      </c>
      <c r="D2631" s="2">
        <v>1817</v>
      </c>
      <c r="E2631">
        <v>9379</v>
      </c>
      <c r="G2631" s="1"/>
      <c r="H2631" t="s">
        <v>1541</v>
      </c>
      <c r="I2631" s="2">
        <v>4193</v>
      </c>
      <c r="J2631" s="2">
        <v>0</v>
      </c>
      <c r="K2631" s="2" t="s">
        <v>884</v>
      </c>
      <c r="L2631" s="43" t="s">
        <v>2929</v>
      </c>
      <c r="P2631" s="41">
        <v>5</v>
      </c>
      <c r="Q2631" s="41">
        <v>4</v>
      </c>
      <c r="R2631" s="41">
        <v>80</v>
      </c>
      <c r="S2631" t="s">
        <v>3321</v>
      </c>
      <c r="AH2631" t="s">
        <v>359</v>
      </c>
    </row>
    <row r="2632" spans="1:34" ht="15.75">
      <c r="A2632" s="29">
        <f t="shared" si="43"/>
        <v>20023</v>
      </c>
      <c r="B2632" s="8">
        <v>736</v>
      </c>
      <c r="C2632" s="8">
        <v>3</v>
      </c>
      <c r="D2632" s="8">
        <v>1817</v>
      </c>
      <c r="E2632">
        <v>9380</v>
      </c>
      <c r="F2632" s="9"/>
      <c r="G2632" s="7"/>
      <c r="H2632" s="9" t="s">
        <v>1541</v>
      </c>
      <c r="I2632" s="8">
        <v>23</v>
      </c>
      <c r="J2632" s="8">
        <v>1000</v>
      </c>
      <c r="K2632" s="2" t="s">
        <v>884</v>
      </c>
      <c r="L2632" s="43" t="s">
        <v>2940</v>
      </c>
      <c r="M2632" s="43" t="s">
        <v>382</v>
      </c>
      <c r="N2632" s="43"/>
      <c r="O2632" s="41" t="s">
        <v>383</v>
      </c>
      <c r="P2632" s="41">
        <v>5</v>
      </c>
      <c r="Q2632" s="41">
        <v>11</v>
      </c>
      <c r="R2632" s="41" t="s">
        <v>1547</v>
      </c>
      <c r="S2632" t="s">
        <v>3153</v>
      </c>
      <c r="T2632" t="s">
        <v>5847</v>
      </c>
      <c r="V2632" t="s">
        <v>384</v>
      </c>
      <c r="X2632">
        <v>1</v>
      </c>
      <c r="Y2632" t="s">
        <v>385</v>
      </c>
      <c r="AH2632" t="s">
        <v>359</v>
      </c>
    </row>
    <row r="2633" spans="1:34" ht="15.75">
      <c r="A2633" s="29">
        <f t="shared" si="43"/>
        <v>22579</v>
      </c>
      <c r="B2633" s="8">
        <v>736</v>
      </c>
      <c r="C2633" s="8">
        <v>3</v>
      </c>
      <c r="D2633" s="8">
        <v>1817</v>
      </c>
      <c r="E2633">
        <v>9381</v>
      </c>
      <c r="F2633" s="9"/>
      <c r="G2633" s="7"/>
      <c r="H2633" s="9" t="s">
        <v>1540</v>
      </c>
      <c r="I2633" s="8">
        <v>22579</v>
      </c>
      <c r="J2633" s="8">
        <v>0</v>
      </c>
      <c r="K2633" s="2" t="s">
        <v>884</v>
      </c>
      <c r="L2633" s="43" t="s">
        <v>2930</v>
      </c>
      <c r="M2633" s="41" t="s">
        <v>2931</v>
      </c>
      <c r="O2633" s="41" t="s">
        <v>2932</v>
      </c>
      <c r="P2633" s="41">
        <v>18</v>
      </c>
      <c r="Q2633" s="41">
        <v>12</v>
      </c>
      <c r="R2633" s="41">
        <v>54</v>
      </c>
      <c r="S2633" t="s">
        <v>2933</v>
      </c>
      <c r="T2633" t="s">
        <v>2934</v>
      </c>
      <c r="V2633" t="s">
        <v>2935</v>
      </c>
      <c r="AH2633" t="s">
        <v>359</v>
      </c>
    </row>
    <row r="2634" spans="1:34" ht="15.75">
      <c r="A2634" s="29">
        <f t="shared" si="43"/>
        <v>479</v>
      </c>
      <c r="B2634" s="2">
        <v>736</v>
      </c>
      <c r="C2634" s="2">
        <v>3</v>
      </c>
      <c r="D2634" s="2">
        <v>1817</v>
      </c>
      <c r="E2634">
        <v>9383</v>
      </c>
      <c r="G2634" s="1"/>
      <c r="H2634" t="s">
        <v>1541</v>
      </c>
      <c r="I2634" s="2">
        <v>479</v>
      </c>
      <c r="J2634" s="2">
        <v>0</v>
      </c>
      <c r="K2634" s="2" t="s">
        <v>884</v>
      </c>
      <c r="L2634" s="43" t="s">
        <v>386</v>
      </c>
      <c r="P2634" s="41">
        <v>15</v>
      </c>
      <c r="Q2634" s="41">
        <v>2</v>
      </c>
      <c r="R2634" s="41" t="s">
        <v>868</v>
      </c>
      <c r="S2634" t="s">
        <v>3321</v>
      </c>
      <c r="AH2634" t="s">
        <v>359</v>
      </c>
    </row>
    <row r="2635" spans="1:34" ht="15.75">
      <c r="A2635" s="29">
        <f t="shared" si="43"/>
        <v>16090</v>
      </c>
      <c r="B2635" s="2">
        <v>736</v>
      </c>
      <c r="C2635" s="2">
        <v>3</v>
      </c>
      <c r="D2635" s="2">
        <v>1817</v>
      </c>
      <c r="E2635">
        <v>9384</v>
      </c>
      <c r="G2635" s="1"/>
      <c r="H2635" t="s">
        <v>1540</v>
      </c>
      <c r="I2635" s="2">
        <v>16090</v>
      </c>
      <c r="J2635" s="2">
        <v>0</v>
      </c>
      <c r="K2635" s="2" t="s">
        <v>884</v>
      </c>
      <c r="L2635" s="43" t="s">
        <v>386</v>
      </c>
      <c r="P2635" s="41">
        <v>20</v>
      </c>
      <c r="Q2635" s="41">
        <v>8</v>
      </c>
      <c r="R2635" s="41">
        <v>80</v>
      </c>
      <c r="S2635" t="s">
        <v>3324</v>
      </c>
      <c r="AH2635" t="s">
        <v>359</v>
      </c>
    </row>
    <row r="2636" spans="1:34" ht="15.75">
      <c r="A2636" s="29">
        <f t="shared" si="43"/>
        <v>1647</v>
      </c>
      <c r="B2636" s="2">
        <v>736</v>
      </c>
      <c r="C2636" s="2">
        <v>3</v>
      </c>
      <c r="D2636" s="2">
        <v>1817</v>
      </c>
      <c r="E2636">
        <v>9385</v>
      </c>
      <c r="G2636" s="1"/>
      <c r="H2636" t="s">
        <v>1541</v>
      </c>
      <c r="I2636" s="2">
        <v>1647</v>
      </c>
      <c r="J2636" s="2">
        <v>0</v>
      </c>
      <c r="K2636" s="2" t="s">
        <v>884</v>
      </c>
      <c r="L2636" s="43" t="s">
        <v>386</v>
      </c>
      <c r="P2636" s="41">
        <v>14</v>
      </c>
      <c r="Q2636" s="41">
        <v>11</v>
      </c>
      <c r="R2636" s="41">
        <v>16</v>
      </c>
      <c r="S2636" t="s">
        <v>3321</v>
      </c>
      <c r="AH2636" t="s">
        <v>359</v>
      </c>
    </row>
    <row r="2637" spans="1:34" ht="15.75">
      <c r="A2637" s="29">
        <f t="shared" si="43"/>
        <v>216</v>
      </c>
      <c r="B2637" s="2">
        <v>736</v>
      </c>
      <c r="C2637" s="2">
        <v>3</v>
      </c>
      <c r="D2637" s="2">
        <v>1817</v>
      </c>
      <c r="E2637">
        <v>9386</v>
      </c>
      <c r="G2637" s="1"/>
      <c r="H2637" t="s">
        <v>1541</v>
      </c>
      <c r="I2637" s="2">
        <v>216</v>
      </c>
      <c r="J2637" s="2">
        <v>0</v>
      </c>
      <c r="K2637" s="2" t="s">
        <v>884</v>
      </c>
      <c r="L2637" s="43" t="s">
        <v>387</v>
      </c>
      <c r="P2637" s="41">
        <v>7</v>
      </c>
      <c r="Q2637" s="41">
        <v>2</v>
      </c>
      <c r="R2637" s="41">
        <v>50</v>
      </c>
      <c r="S2637" t="s">
        <v>3321</v>
      </c>
      <c r="AH2637" t="s">
        <v>359</v>
      </c>
    </row>
    <row r="2638" spans="1:34" ht="15.75">
      <c r="A2638" s="29">
        <f t="shared" si="43"/>
        <v>1287</v>
      </c>
      <c r="B2638" s="2">
        <v>736</v>
      </c>
      <c r="C2638" s="2">
        <v>3</v>
      </c>
      <c r="D2638" s="2">
        <v>1817</v>
      </c>
      <c r="E2638">
        <v>9387</v>
      </c>
      <c r="G2638" s="1"/>
      <c r="H2638" t="s">
        <v>1540</v>
      </c>
      <c r="I2638" s="2">
        <v>1287</v>
      </c>
      <c r="J2638" s="2">
        <v>0</v>
      </c>
      <c r="K2638" s="2" t="s">
        <v>884</v>
      </c>
      <c r="L2638" s="43" t="s">
        <v>3657</v>
      </c>
      <c r="P2638" s="41">
        <v>22</v>
      </c>
      <c r="Q2638" s="41">
        <v>8</v>
      </c>
      <c r="R2638" s="41" t="s">
        <v>868</v>
      </c>
      <c r="S2638" t="s">
        <v>3321</v>
      </c>
      <c r="AH2638" t="s">
        <v>359</v>
      </c>
    </row>
    <row r="2639" spans="1:34" ht="15.75">
      <c r="A2639" s="29">
        <f t="shared" si="43"/>
        <v>152</v>
      </c>
      <c r="B2639" s="2">
        <v>736</v>
      </c>
      <c r="C2639" s="2">
        <v>3</v>
      </c>
      <c r="D2639" s="2">
        <v>1817</v>
      </c>
      <c r="E2639">
        <v>9388</v>
      </c>
      <c r="G2639" s="1"/>
      <c r="H2639" t="s">
        <v>1549</v>
      </c>
      <c r="I2639" s="2">
        <v>152</v>
      </c>
      <c r="J2639" s="2">
        <v>0</v>
      </c>
      <c r="K2639" s="2" t="s">
        <v>884</v>
      </c>
      <c r="L2639" s="43" t="s">
        <v>388</v>
      </c>
      <c r="P2639" s="41">
        <v>30</v>
      </c>
      <c r="Q2639" s="41">
        <v>8</v>
      </c>
      <c r="R2639" s="41">
        <v>34</v>
      </c>
      <c r="S2639" t="s">
        <v>1547</v>
      </c>
      <c r="AH2639" t="s">
        <v>359</v>
      </c>
    </row>
    <row r="2640" spans="1:34" ht="15.75">
      <c r="A2640" s="29">
        <f t="shared" si="43"/>
        <v>152</v>
      </c>
      <c r="B2640" s="2">
        <v>736</v>
      </c>
      <c r="C2640" s="2">
        <v>3</v>
      </c>
      <c r="D2640" s="2">
        <v>1817</v>
      </c>
      <c r="E2640">
        <v>9389</v>
      </c>
      <c r="G2640" s="1"/>
      <c r="H2640" t="s">
        <v>1540</v>
      </c>
      <c r="I2640" s="2">
        <v>152</v>
      </c>
      <c r="J2640" s="2">
        <v>0</v>
      </c>
      <c r="K2640" s="2" t="s">
        <v>884</v>
      </c>
      <c r="L2640" s="43" t="s">
        <v>388</v>
      </c>
      <c r="P2640" s="41">
        <v>4</v>
      </c>
      <c r="Q2640" s="41">
        <v>11</v>
      </c>
      <c r="R2640" s="41">
        <v>77</v>
      </c>
      <c r="S2640" t="s">
        <v>3324</v>
      </c>
      <c r="AH2640" t="s">
        <v>359</v>
      </c>
    </row>
    <row r="2641" spans="1:34" ht="15.75">
      <c r="A2641" s="29">
        <f t="shared" si="43"/>
        <v>14374</v>
      </c>
      <c r="B2641" s="8">
        <v>736</v>
      </c>
      <c r="C2641" s="8">
        <v>3</v>
      </c>
      <c r="D2641" s="8">
        <v>1817</v>
      </c>
      <c r="E2641">
        <v>9390</v>
      </c>
      <c r="F2641" s="9"/>
      <c r="G2641" s="7"/>
      <c r="H2641" s="9" t="s">
        <v>1540</v>
      </c>
      <c r="I2641" s="8">
        <v>4374</v>
      </c>
      <c r="J2641" s="8">
        <v>500</v>
      </c>
      <c r="K2641" s="2" t="s">
        <v>884</v>
      </c>
      <c r="L2641" s="43" t="s">
        <v>1279</v>
      </c>
      <c r="M2641" s="41" t="s">
        <v>960</v>
      </c>
      <c r="N2641" s="41" t="s">
        <v>389</v>
      </c>
      <c r="O2641" s="41" t="s">
        <v>390</v>
      </c>
      <c r="P2641" s="41">
        <v>15</v>
      </c>
      <c r="Q2641" s="41">
        <v>12</v>
      </c>
      <c r="R2641" s="41">
        <v>68</v>
      </c>
      <c r="S2641" t="s">
        <v>391</v>
      </c>
      <c r="T2641" t="s">
        <v>3154</v>
      </c>
      <c r="V2641" t="s">
        <v>392</v>
      </c>
      <c r="X2641">
        <v>1</v>
      </c>
      <c r="Y2641" t="s">
        <v>393</v>
      </c>
      <c r="AH2641" t="s">
        <v>359</v>
      </c>
    </row>
    <row r="2642" spans="1:34" ht="15.75">
      <c r="A2642" s="29">
        <f t="shared" si="43"/>
        <v>2264</v>
      </c>
      <c r="B2642" s="8">
        <v>736</v>
      </c>
      <c r="C2642" s="8">
        <v>3</v>
      </c>
      <c r="D2642" s="8">
        <v>1817</v>
      </c>
      <c r="E2642">
        <v>9391</v>
      </c>
      <c r="F2642" s="9"/>
      <c r="G2642" s="7"/>
      <c r="H2642" s="9" t="s">
        <v>1541</v>
      </c>
      <c r="I2642" s="8">
        <v>2264</v>
      </c>
      <c r="J2642" s="8">
        <v>0</v>
      </c>
      <c r="K2642" s="2" t="s">
        <v>884</v>
      </c>
      <c r="L2642" s="43" t="s">
        <v>394</v>
      </c>
      <c r="P2642" s="41">
        <v>6</v>
      </c>
      <c r="Q2642" s="41">
        <v>4</v>
      </c>
      <c r="R2642" s="41">
        <v>30</v>
      </c>
      <c r="S2642" t="s">
        <v>3321</v>
      </c>
      <c r="AH2642" t="s">
        <v>359</v>
      </c>
    </row>
    <row r="2643" spans="1:34" ht="15.75">
      <c r="A2643" s="29">
        <f t="shared" si="43"/>
        <v>10600</v>
      </c>
      <c r="B2643" s="8">
        <v>736</v>
      </c>
      <c r="C2643" s="8">
        <v>3</v>
      </c>
      <c r="D2643" s="8">
        <v>1817</v>
      </c>
      <c r="E2643">
        <v>9392</v>
      </c>
      <c r="F2643" s="9"/>
      <c r="G2643" s="7"/>
      <c r="H2643" s="9" t="s">
        <v>1541</v>
      </c>
      <c r="I2643" s="8">
        <v>600</v>
      </c>
      <c r="J2643" s="8">
        <v>500</v>
      </c>
      <c r="K2643" s="2" t="s">
        <v>884</v>
      </c>
      <c r="L2643" s="43" t="s">
        <v>395</v>
      </c>
      <c r="M2643" s="41" t="s">
        <v>3566</v>
      </c>
      <c r="O2643" s="41" t="s">
        <v>396</v>
      </c>
      <c r="P2643" s="41">
        <v>17</v>
      </c>
      <c r="Q2643" s="41">
        <v>7</v>
      </c>
      <c r="R2643" s="41" t="s">
        <v>1547</v>
      </c>
      <c r="S2643" t="s">
        <v>397</v>
      </c>
      <c r="T2643" t="s">
        <v>398</v>
      </c>
      <c r="V2643" t="s">
        <v>399</v>
      </c>
      <c r="X2643">
        <v>1</v>
      </c>
      <c r="Y2643" t="s">
        <v>396</v>
      </c>
      <c r="AA2643" t="s">
        <v>400</v>
      </c>
      <c r="AH2643" t="s">
        <v>359</v>
      </c>
    </row>
    <row r="2644" spans="1:34" ht="15.75">
      <c r="A2644" s="29">
        <f t="shared" si="43"/>
        <v>4600</v>
      </c>
      <c r="B2644" s="2">
        <v>736</v>
      </c>
      <c r="C2644" s="2">
        <v>3</v>
      </c>
      <c r="D2644" s="2">
        <v>1817</v>
      </c>
      <c r="E2644">
        <v>9393</v>
      </c>
      <c r="G2644" s="1"/>
      <c r="H2644" t="s">
        <v>1540</v>
      </c>
      <c r="I2644" s="2">
        <v>4600</v>
      </c>
      <c r="J2644" s="2">
        <v>0</v>
      </c>
      <c r="K2644" s="2" t="s">
        <v>884</v>
      </c>
      <c r="L2644" s="43" t="s">
        <v>409</v>
      </c>
      <c r="P2644" s="41">
        <v>30</v>
      </c>
      <c r="Q2644" s="41">
        <v>7</v>
      </c>
      <c r="R2644" s="41">
        <v>29</v>
      </c>
      <c r="S2644" t="s">
        <v>3343</v>
      </c>
      <c r="AH2644" t="s">
        <v>359</v>
      </c>
    </row>
    <row r="2645" spans="1:34" ht="15.75">
      <c r="A2645" s="29">
        <f t="shared" si="43"/>
        <v>6704</v>
      </c>
      <c r="B2645" s="2">
        <v>736</v>
      </c>
      <c r="C2645" s="2">
        <v>3</v>
      </c>
      <c r="D2645" s="2">
        <v>1817</v>
      </c>
      <c r="E2645">
        <v>9394</v>
      </c>
      <c r="G2645" s="1"/>
      <c r="H2645" t="s">
        <v>1540</v>
      </c>
      <c r="I2645" s="2">
        <v>6704</v>
      </c>
      <c r="J2645" s="2">
        <v>0</v>
      </c>
      <c r="K2645" s="2" t="s">
        <v>884</v>
      </c>
      <c r="L2645" s="43" t="s">
        <v>409</v>
      </c>
      <c r="P2645" s="41">
        <v>29</v>
      </c>
      <c r="Q2645" s="41">
        <v>10</v>
      </c>
      <c r="R2645" s="41">
        <v>64</v>
      </c>
      <c r="S2645" t="s">
        <v>3321</v>
      </c>
      <c r="AH2645" t="s">
        <v>359</v>
      </c>
    </row>
    <row r="2646" spans="1:34" ht="15.75">
      <c r="A2646" s="29">
        <f t="shared" si="43"/>
        <v>7482</v>
      </c>
      <c r="B2646" s="2">
        <v>736</v>
      </c>
      <c r="C2646" s="2">
        <v>3</v>
      </c>
      <c r="D2646" s="2">
        <v>1817</v>
      </c>
      <c r="E2646">
        <v>9395</v>
      </c>
      <c r="G2646" s="1"/>
      <c r="H2646" t="s">
        <v>1541</v>
      </c>
      <c r="I2646" s="2">
        <v>7482</v>
      </c>
      <c r="J2646" s="2">
        <v>0</v>
      </c>
      <c r="K2646" s="2" t="s">
        <v>884</v>
      </c>
      <c r="L2646" s="43" t="s">
        <v>409</v>
      </c>
      <c r="P2646" s="41">
        <v>15</v>
      </c>
      <c r="Q2646" s="41">
        <v>12</v>
      </c>
      <c r="R2646" s="41">
        <v>48</v>
      </c>
      <c r="S2646" t="s">
        <v>3321</v>
      </c>
      <c r="AH2646" t="s">
        <v>359</v>
      </c>
    </row>
    <row r="2647" spans="1:34" ht="15.75">
      <c r="A2647" s="29">
        <f t="shared" si="43"/>
        <v>1362</v>
      </c>
      <c r="B2647" s="2">
        <v>736</v>
      </c>
      <c r="C2647" s="2">
        <v>3</v>
      </c>
      <c r="D2647" s="2">
        <v>1817</v>
      </c>
      <c r="E2647">
        <v>9396</v>
      </c>
      <c r="G2647" s="1"/>
      <c r="H2647" t="s">
        <v>1540</v>
      </c>
      <c r="I2647" s="2">
        <v>1362</v>
      </c>
      <c r="J2647" s="2">
        <v>0</v>
      </c>
      <c r="K2647" s="2" t="s">
        <v>884</v>
      </c>
      <c r="L2647" s="43" t="s">
        <v>409</v>
      </c>
      <c r="P2647" s="41">
        <v>13</v>
      </c>
      <c r="Q2647" s="41">
        <v>10</v>
      </c>
      <c r="R2647" s="41" t="s">
        <v>868</v>
      </c>
      <c r="S2647" t="s">
        <v>3321</v>
      </c>
      <c r="AH2647" t="s">
        <v>359</v>
      </c>
    </row>
    <row r="2648" spans="1:34" ht="15.75">
      <c r="A2648" s="29">
        <f t="shared" si="43"/>
        <v>12089</v>
      </c>
      <c r="B2648" s="8">
        <v>736</v>
      </c>
      <c r="C2648" s="8">
        <v>3</v>
      </c>
      <c r="D2648" s="8">
        <v>1817</v>
      </c>
      <c r="E2648">
        <v>9397</v>
      </c>
      <c r="F2648" s="9"/>
      <c r="G2648" s="7"/>
      <c r="H2648" s="9" t="s">
        <v>1540</v>
      </c>
      <c r="I2648" s="8">
        <v>0</v>
      </c>
      <c r="J2648" s="8">
        <f>12089/20</f>
        <v>604.45</v>
      </c>
      <c r="K2648" s="2" t="s">
        <v>884</v>
      </c>
      <c r="L2648" s="43" t="s">
        <v>401</v>
      </c>
      <c r="M2648" s="41" t="s">
        <v>402</v>
      </c>
      <c r="N2648" s="41" t="s">
        <v>403</v>
      </c>
      <c r="O2648" s="41" t="s">
        <v>404</v>
      </c>
      <c r="P2648" s="41">
        <v>11</v>
      </c>
      <c r="Q2648" s="41">
        <v>1</v>
      </c>
      <c r="R2648" s="41">
        <v>54</v>
      </c>
      <c r="S2648" t="s">
        <v>405</v>
      </c>
      <c r="T2648" t="s">
        <v>406</v>
      </c>
      <c r="V2648" t="s">
        <v>407</v>
      </c>
      <c r="X2648">
        <v>1</v>
      </c>
      <c r="Y2648" t="s">
        <v>408</v>
      </c>
      <c r="AH2648" t="s">
        <v>359</v>
      </c>
    </row>
    <row r="2649" spans="1:34" ht="15.75">
      <c r="A2649" s="29">
        <f t="shared" si="43"/>
        <v>11</v>
      </c>
      <c r="B2649" s="2">
        <v>737</v>
      </c>
      <c r="C2649" s="2">
        <v>3</v>
      </c>
      <c r="D2649" s="2">
        <v>1817</v>
      </c>
      <c r="E2649">
        <v>9398</v>
      </c>
      <c r="G2649" s="1"/>
      <c r="H2649" t="s">
        <v>1541</v>
      </c>
      <c r="I2649" s="2">
        <v>11</v>
      </c>
      <c r="J2649" s="2">
        <v>0</v>
      </c>
      <c r="K2649" s="2" t="s">
        <v>884</v>
      </c>
      <c r="L2649" s="43" t="s">
        <v>4054</v>
      </c>
      <c r="P2649" s="41">
        <v>22</v>
      </c>
      <c r="Q2649" s="41">
        <v>8</v>
      </c>
      <c r="R2649" s="41">
        <v>72</v>
      </c>
      <c r="S2649" t="s">
        <v>3329</v>
      </c>
      <c r="AH2649" t="s">
        <v>359</v>
      </c>
    </row>
    <row r="2650" spans="1:34" ht="15.75">
      <c r="A2650" s="29">
        <f t="shared" si="43"/>
        <v>194</v>
      </c>
      <c r="B2650" s="2">
        <v>737</v>
      </c>
      <c r="C2650" s="2">
        <v>3</v>
      </c>
      <c r="D2650" s="2">
        <v>1817</v>
      </c>
      <c r="E2650">
        <v>9399</v>
      </c>
      <c r="G2650" s="1"/>
      <c r="H2650" t="s">
        <v>1540</v>
      </c>
      <c r="I2650" s="2">
        <v>194</v>
      </c>
      <c r="J2650" s="2">
        <v>0</v>
      </c>
      <c r="K2650" s="2" t="s">
        <v>884</v>
      </c>
      <c r="L2650" s="43" t="s">
        <v>5711</v>
      </c>
      <c r="P2650" s="41">
        <v>14</v>
      </c>
      <c r="Q2650" s="41">
        <v>8</v>
      </c>
      <c r="R2650" s="41">
        <v>72</v>
      </c>
      <c r="S2650" t="s">
        <v>1547</v>
      </c>
      <c r="AH2650" t="s">
        <v>359</v>
      </c>
    </row>
    <row r="2651" spans="1:34" ht="15.75">
      <c r="A2651" s="29">
        <f t="shared" si="43"/>
        <v>21186</v>
      </c>
      <c r="B2651" s="8">
        <v>737</v>
      </c>
      <c r="C2651" s="2">
        <v>3</v>
      </c>
      <c r="D2651" s="8">
        <v>1817</v>
      </c>
      <c r="E2651">
        <v>9402</v>
      </c>
      <c r="F2651" s="9"/>
      <c r="G2651" s="7"/>
      <c r="H2651" s="9" t="s">
        <v>1540</v>
      </c>
      <c r="I2651" s="8">
        <v>3186</v>
      </c>
      <c r="J2651" s="8">
        <v>1800</v>
      </c>
      <c r="K2651" s="2" t="s">
        <v>884</v>
      </c>
      <c r="L2651" s="43" t="s">
        <v>415</v>
      </c>
      <c r="M2651" s="41" t="s">
        <v>3362</v>
      </c>
      <c r="N2651" s="41" t="s">
        <v>416</v>
      </c>
      <c r="O2651" s="41" t="s">
        <v>417</v>
      </c>
      <c r="P2651" s="41">
        <v>14</v>
      </c>
      <c r="Q2651" s="41">
        <v>9</v>
      </c>
      <c r="R2651" s="41">
        <v>60</v>
      </c>
      <c r="S2651" t="s">
        <v>418</v>
      </c>
      <c r="T2651" t="s">
        <v>419</v>
      </c>
      <c r="V2651" t="s">
        <v>1244</v>
      </c>
      <c r="X2651">
        <v>0.5</v>
      </c>
      <c r="Y2651" t="s">
        <v>420</v>
      </c>
      <c r="AA2651" t="s">
        <v>2421</v>
      </c>
      <c r="AH2651" t="s">
        <v>359</v>
      </c>
    </row>
    <row r="2652" spans="1:34" ht="15.75">
      <c r="A2652" s="29">
        <f t="shared" si="43"/>
        <v>400</v>
      </c>
      <c r="B2652" s="2">
        <v>737</v>
      </c>
      <c r="C2652" s="2">
        <v>3</v>
      </c>
      <c r="D2652" s="2">
        <v>1817</v>
      </c>
      <c r="E2652">
        <v>9403</v>
      </c>
      <c r="G2652" s="1"/>
      <c r="H2652" t="s">
        <v>1541</v>
      </c>
      <c r="I2652" s="2">
        <v>400</v>
      </c>
      <c r="J2652" s="2">
        <v>0</v>
      </c>
      <c r="K2652" s="2" t="s">
        <v>884</v>
      </c>
      <c r="L2652" s="43" t="s">
        <v>5714</v>
      </c>
      <c r="P2652" s="41">
        <v>30</v>
      </c>
      <c r="Q2652" s="41">
        <v>12</v>
      </c>
      <c r="R2652" s="41">
        <v>55</v>
      </c>
      <c r="S2652" t="s">
        <v>3321</v>
      </c>
      <c r="AH2652" t="s">
        <v>359</v>
      </c>
    </row>
    <row r="2653" spans="1:34" ht="15.75">
      <c r="A2653" s="29">
        <f t="shared" si="43"/>
        <v>9290</v>
      </c>
      <c r="B2653" s="8">
        <v>737</v>
      </c>
      <c r="C2653" s="2">
        <v>3</v>
      </c>
      <c r="D2653" s="8">
        <v>1817</v>
      </c>
      <c r="E2653">
        <v>9404</v>
      </c>
      <c r="F2653" s="9"/>
      <c r="G2653" s="7"/>
      <c r="H2653" s="9" t="s">
        <v>1540</v>
      </c>
      <c r="I2653" s="8">
        <v>9290</v>
      </c>
      <c r="J2653" s="8">
        <v>0</v>
      </c>
      <c r="K2653" s="2" t="s">
        <v>884</v>
      </c>
      <c r="L2653" s="43" t="s">
        <v>421</v>
      </c>
      <c r="M2653" s="41" t="s">
        <v>422</v>
      </c>
      <c r="N2653" s="41" t="s">
        <v>1555</v>
      </c>
      <c r="O2653" s="41" t="s">
        <v>423</v>
      </c>
      <c r="P2653" s="41">
        <v>16</v>
      </c>
      <c r="Q2653" s="41">
        <v>12</v>
      </c>
      <c r="R2653" s="41">
        <v>77</v>
      </c>
      <c r="S2653" t="s">
        <v>424</v>
      </c>
      <c r="T2653" t="s">
        <v>425</v>
      </c>
      <c r="V2653" t="s">
        <v>3148</v>
      </c>
      <c r="AH2653" t="s">
        <v>359</v>
      </c>
    </row>
    <row r="2654" spans="1:34" ht="15.75">
      <c r="A2654" s="29">
        <f t="shared" si="43"/>
        <v>2356</v>
      </c>
      <c r="B2654" s="2">
        <v>737</v>
      </c>
      <c r="C2654" s="2">
        <v>3</v>
      </c>
      <c r="D2654" s="2">
        <v>1817</v>
      </c>
      <c r="E2654">
        <v>9405</v>
      </c>
      <c r="G2654" s="1"/>
      <c r="H2654" t="s">
        <v>1541</v>
      </c>
      <c r="I2654" s="2">
        <v>2356</v>
      </c>
      <c r="J2654" s="2">
        <v>0</v>
      </c>
      <c r="K2654" s="2" t="s">
        <v>884</v>
      </c>
      <c r="L2654" s="43" t="s">
        <v>426</v>
      </c>
      <c r="P2654" s="41">
        <v>28</v>
      </c>
      <c r="Q2654" s="41">
        <v>9</v>
      </c>
      <c r="R2654" s="41">
        <v>46</v>
      </c>
      <c r="S2654" t="s">
        <v>3329</v>
      </c>
      <c r="AH2654" t="s">
        <v>359</v>
      </c>
    </row>
    <row r="2655" spans="1:34" ht="15.75">
      <c r="A2655" s="29">
        <f t="shared" si="43"/>
        <v>31941</v>
      </c>
      <c r="B2655" s="8">
        <v>737</v>
      </c>
      <c r="C2655" s="2">
        <v>3</v>
      </c>
      <c r="D2655" s="8">
        <v>1817</v>
      </c>
      <c r="E2655">
        <v>9406</v>
      </c>
      <c r="F2655" s="9"/>
      <c r="G2655" s="7"/>
      <c r="H2655" s="9" t="s">
        <v>1541</v>
      </c>
      <c r="I2655" s="8">
        <v>10741</v>
      </c>
      <c r="J2655" s="8">
        <v>1060</v>
      </c>
      <c r="K2655" s="2" t="s">
        <v>884</v>
      </c>
      <c r="L2655" s="43" t="s">
        <v>427</v>
      </c>
      <c r="M2655" s="41" t="s">
        <v>1553</v>
      </c>
      <c r="N2655" s="41" t="s">
        <v>1555</v>
      </c>
      <c r="O2655" s="41" t="s">
        <v>428</v>
      </c>
      <c r="P2655" s="41">
        <v>8</v>
      </c>
      <c r="Q2655" s="41">
        <v>9</v>
      </c>
      <c r="R2655" s="41">
        <v>76</v>
      </c>
      <c r="S2655" t="s">
        <v>429</v>
      </c>
      <c r="T2655" t="s">
        <v>2679</v>
      </c>
      <c r="V2655" t="s">
        <v>2415</v>
      </c>
      <c r="X2655">
        <v>1</v>
      </c>
      <c r="Y2655" t="s">
        <v>430</v>
      </c>
      <c r="AH2655" t="s">
        <v>359</v>
      </c>
    </row>
    <row r="2656" spans="1:34" ht="15.75">
      <c r="A2656" s="29">
        <f t="shared" si="43"/>
        <v>8033</v>
      </c>
      <c r="B2656" s="8">
        <v>737</v>
      </c>
      <c r="C2656" s="2">
        <v>3</v>
      </c>
      <c r="D2656" s="8">
        <v>1817</v>
      </c>
      <c r="E2656">
        <v>9407</v>
      </c>
      <c r="F2656" s="9"/>
      <c r="G2656" s="7"/>
      <c r="H2656" s="9" t="s">
        <v>1540</v>
      </c>
      <c r="I2656" s="8">
        <v>8033</v>
      </c>
      <c r="J2656" s="8">
        <v>0</v>
      </c>
      <c r="K2656" s="2" t="s">
        <v>884</v>
      </c>
      <c r="L2656" s="43" t="s">
        <v>431</v>
      </c>
      <c r="P2656" s="41">
        <v>25</v>
      </c>
      <c r="Q2656" s="41">
        <v>11</v>
      </c>
      <c r="R2656" s="41">
        <v>43</v>
      </c>
      <c r="S2656" t="s">
        <v>3321</v>
      </c>
      <c r="AH2656" t="s">
        <v>359</v>
      </c>
    </row>
    <row r="2657" spans="1:34" ht="15.75">
      <c r="A2657" s="29">
        <f t="shared" si="43"/>
        <v>66</v>
      </c>
      <c r="B2657" s="8">
        <v>737</v>
      </c>
      <c r="C2657" s="2">
        <v>3</v>
      </c>
      <c r="D2657" s="8">
        <v>1817</v>
      </c>
      <c r="E2657">
        <v>9408</v>
      </c>
      <c r="F2657" s="9"/>
      <c r="G2657" s="7"/>
      <c r="H2657" s="9" t="s">
        <v>1541</v>
      </c>
      <c r="I2657" s="8">
        <v>66</v>
      </c>
      <c r="J2657" s="8">
        <v>0</v>
      </c>
      <c r="K2657" s="2" t="s">
        <v>884</v>
      </c>
      <c r="L2657" s="43" t="s">
        <v>1333</v>
      </c>
      <c r="P2657" s="41">
        <v>9</v>
      </c>
      <c r="Q2657" s="41">
        <v>11</v>
      </c>
      <c r="R2657" s="41">
        <v>81</v>
      </c>
      <c r="S2657" t="s">
        <v>3329</v>
      </c>
      <c r="AH2657" t="s">
        <v>359</v>
      </c>
    </row>
    <row r="2658" spans="1:34" ht="15.75">
      <c r="A2658" s="29">
        <f t="shared" si="43"/>
        <v>98</v>
      </c>
      <c r="B2658" s="8">
        <v>737</v>
      </c>
      <c r="C2658" s="2">
        <v>3</v>
      </c>
      <c r="D2658" s="8">
        <v>1817</v>
      </c>
      <c r="E2658">
        <v>9409</v>
      </c>
      <c r="F2658" s="9"/>
      <c r="G2658" s="7"/>
      <c r="H2658" s="9" t="s">
        <v>1541</v>
      </c>
      <c r="I2658" s="8">
        <v>98</v>
      </c>
      <c r="J2658" s="8">
        <v>0</v>
      </c>
      <c r="K2658" s="2" t="s">
        <v>884</v>
      </c>
      <c r="L2658" s="43" t="s">
        <v>1330</v>
      </c>
      <c r="P2658" s="41">
        <v>24</v>
      </c>
      <c r="Q2658" s="41">
        <v>10</v>
      </c>
      <c r="R2658" s="41">
        <v>70</v>
      </c>
      <c r="S2658" t="s">
        <v>1547</v>
      </c>
      <c r="AH2658" t="s">
        <v>359</v>
      </c>
    </row>
    <row r="2659" spans="1:34" ht="15.75">
      <c r="A2659" s="39">
        <f aca="true" t="shared" si="44" ref="A2659:A2690">I2659+J2659*20*X2659</f>
        <v>90</v>
      </c>
      <c r="B2659" s="2">
        <v>737</v>
      </c>
      <c r="C2659" s="2">
        <v>3</v>
      </c>
      <c r="D2659" s="2">
        <v>1817</v>
      </c>
      <c r="E2659">
        <v>9410</v>
      </c>
      <c r="G2659" s="1"/>
      <c r="H2659" t="s">
        <v>1541</v>
      </c>
      <c r="I2659" s="2">
        <v>90</v>
      </c>
      <c r="J2659" s="2">
        <v>0</v>
      </c>
      <c r="K2659" s="2" t="s">
        <v>884</v>
      </c>
      <c r="L2659" s="43" t="s">
        <v>1739</v>
      </c>
      <c r="P2659" s="41">
        <v>19</v>
      </c>
      <c r="Q2659" s="41">
        <v>11</v>
      </c>
      <c r="R2659" s="41" t="s">
        <v>2897</v>
      </c>
      <c r="S2659" t="s">
        <v>3343</v>
      </c>
      <c r="AH2659" t="s">
        <v>359</v>
      </c>
    </row>
    <row r="2660" spans="1:34" ht="15.75">
      <c r="A2660" s="39">
        <f t="shared" si="44"/>
        <v>174</v>
      </c>
      <c r="B2660" s="2">
        <v>737</v>
      </c>
      <c r="C2660" s="2">
        <v>3</v>
      </c>
      <c r="D2660" s="2">
        <v>1817</v>
      </c>
      <c r="E2660">
        <v>9411</v>
      </c>
      <c r="G2660" s="1"/>
      <c r="H2660" t="s">
        <v>1541</v>
      </c>
      <c r="I2660" s="2">
        <v>174</v>
      </c>
      <c r="J2660" s="2">
        <v>0</v>
      </c>
      <c r="K2660" s="2" t="s">
        <v>884</v>
      </c>
      <c r="L2660" s="43" t="s">
        <v>438</v>
      </c>
      <c r="P2660" s="41">
        <v>3</v>
      </c>
      <c r="Q2660" s="41">
        <v>7</v>
      </c>
      <c r="R2660" s="41">
        <v>79</v>
      </c>
      <c r="S2660" t="s">
        <v>3321</v>
      </c>
      <c r="AH2660" t="s">
        <v>359</v>
      </c>
    </row>
    <row r="2661" spans="1:34" ht="15.75">
      <c r="A2661" s="29">
        <f t="shared" si="44"/>
        <v>132846</v>
      </c>
      <c r="B2661" s="8">
        <v>737</v>
      </c>
      <c r="C2661" s="2">
        <v>3</v>
      </c>
      <c r="D2661" s="8">
        <v>1817</v>
      </c>
      <c r="E2661">
        <v>9412</v>
      </c>
      <c r="F2661" s="9"/>
      <c r="G2661" s="7"/>
      <c r="H2661" s="9" t="s">
        <v>1540</v>
      </c>
      <c r="I2661" s="8">
        <v>6846</v>
      </c>
      <c r="J2661" s="8">
        <f>1000+1800+3500</f>
        <v>6300</v>
      </c>
      <c r="K2661" s="2" t="s">
        <v>884</v>
      </c>
      <c r="L2661" s="43" t="s">
        <v>432</v>
      </c>
      <c r="M2661" s="41" t="s">
        <v>433</v>
      </c>
      <c r="O2661" s="41" t="s">
        <v>434</v>
      </c>
      <c r="P2661" s="41">
        <v>3</v>
      </c>
      <c r="Q2661" s="41">
        <v>4</v>
      </c>
      <c r="R2661" s="41">
        <v>50</v>
      </c>
      <c r="S2661" t="s">
        <v>435</v>
      </c>
      <c r="T2661" t="s">
        <v>4929</v>
      </c>
      <c r="V2661" t="s">
        <v>436</v>
      </c>
      <c r="X2661">
        <v>1</v>
      </c>
      <c r="Y2661" t="s">
        <v>437</v>
      </c>
      <c r="AH2661" t="s">
        <v>359</v>
      </c>
    </row>
    <row r="2662" spans="1:34" ht="15.75">
      <c r="A2662" s="29">
        <f t="shared" si="44"/>
        <v>60</v>
      </c>
      <c r="B2662" s="2">
        <v>737</v>
      </c>
      <c r="C2662" s="2">
        <v>3</v>
      </c>
      <c r="D2662" s="2">
        <v>1817</v>
      </c>
      <c r="E2662">
        <v>9413</v>
      </c>
      <c r="G2662" s="1"/>
      <c r="H2662" t="s">
        <v>1549</v>
      </c>
      <c r="I2662" s="2">
        <v>60</v>
      </c>
      <c r="J2662" s="2">
        <v>0</v>
      </c>
      <c r="K2662" s="2" t="s">
        <v>884</v>
      </c>
      <c r="L2662" s="43" t="s">
        <v>5716</v>
      </c>
      <c r="P2662" s="41">
        <v>20</v>
      </c>
      <c r="Q2662" s="41">
        <v>10</v>
      </c>
      <c r="R2662" s="41" t="s">
        <v>1547</v>
      </c>
      <c r="S2662" t="s">
        <v>4324</v>
      </c>
      <c r="AH2662" t="s">
        <v>359</v>
      </c>
    </row>
    <row r="2663" spans="1:34" ht="15.75">
      <c r="A2663" s="29">
        <f t="shared" si="44"/>
        <v>44</v>
      </c>
      <c r="B2663" s="2">
        <v>738</v>
      </c>
      <c r="C2663" s="2">
        <v>3</v>
      </c>
      <c r="D2663" s="2">
        <v>1817</v>
      </c>
      <c r="E2663">
        <v>9414</v>
      </c>
      <c r="G2663" s="1"/>
      <c r="H2663" t="s">
        <v>1540</v>
      </c>
      <c r="I2663" s="2">
        <v>44</v>
      </c>
      <c r="J2663" s="2">
        <v>0</v>
      </c>
      <c r="K2663" s="2" t="s">
        <v>864</v>
      </c>
      <c r="L2663" s="43" t="s">
        <v>439</v>
      </c>
      <c r="P2663" s="41">
        <v>2</v>
      </c>
      <c r="Q2663" s="41">
        <v>9</v>
      </c>
      <c r="R2663" s="41">
        <v>64</v>
      </c>
      <c r="S2663" t="s">
        <v>3324</v>
      </c>
      <c r="AH2663" t="s">
        <v>359</v>
      </c>
    </row>
    <row r="2664" spans="1:34" ht="15.75">
      <c r="A2664" s="29">
        <f t="shared" si="44"/>
        <v>2390</v>
      </c>
      <c r="B2664" s="2">
        <v>738</v>
      </c>
      <c r="C2664" s="2">
        <v>3</v>
      </c>
      <c r="D2664" s="2">
        <v>1817</v>
      </c>
      <c r="E2664">
        <v>9415</v>
      </c>
      <c r="G2664" s="1"/>
      <c r="H2664" t="s">
        <v>1540</v>
      </c>
      <c r="I2664" s="2">
        <v>2390</v>
      </c>
      <c r="J2664" s="2">
        <v>0</v>
      </c>
      <c r="K2664" s="2" t="s">
        <v>864</v>
      </c>
      <c r="L2664" s="43" t="s">
        <v>440</v>
      </c>
      <c r="P2664" s="41">
        <v>5</v>
      </c>
      <c r="Q2664" s="41">
        <v>2</v>
      </c>
      <c r="R2664" s="41">
        <v>65</v>
      </c>
      <c r="S2664" t="s">
        <v>1547</v>
      </c>
      <c r="AH2664" t="s">
        <v>359</v>
      </c>
    </row>
    <row r="2665" spans="1:34" ht="15.75">
      <c r="A2665" s="29">
        <f t="shared" si="44"/>
        <v>10166</v>
      </c>
      <c r="B2665" s="2">
        <v>738</v>
      </c>
      <c r="C2665" s="2">
        <v>3</v>
      </c>
      <c r="D2665" s="2">
        <v>1817</v>
      </c>
      <c r="E2665">
        <v>9416</v>
      </c>
      <c r="G2665" s="1"/>
      <c r="H2665" t="s">
        <v>1541</v>
      </c>
      <c r="I2665" s="2">
        <v>10166</v>
      </c>
      <c r="J2665" s="2">
        <v>0</v>
      </c>
      <c r="K2665" s="2" t="s">
        <v>864</v>
      </c>
      <c r="L2665" s="43" t="s">
        <v>962</v>
      </c>
      <c r="P2665" s="41">
        <v>6</v>
      </c>
      <c r="Q2665" s="41">
        <v>1</v>
      </c>
      <c r="R2665" s="41">
        <v>47</v>
      </c>
      <c r="S2665" t="s">
        <v>3321</v>
      </c>
      <c r="AH2665" t="s">
        <v>359</v>
      </c>
    </row>
    <row r="2666" spans="1:34" ht="15.75">
      <c r="A2666" s="29">
        <f t="shared" si="44"/>
        <v>19138</v>
      </c>
      <c r="B2666" s="8">
        <v>738</v>
      </c>
      <c r="C2666" s="2">
        <v>3</v>
      </c>
      <c r="D2666" s="8">
        <v>1817</v>
      </c>
      <c r="E2666">
        <v>9417</v>
      </c>
      <c r="F2666" s="9"/>
      <c r="G2666" s="7"/>
      <c r="H2666" s="9" t="s">
        <v>1540</v>
      </c>
      <c r="I2666" s="8">
        <f>1138+18000</f>
        <v>19138</v>
      </c>
      <c r="J2666" s="8">
        <v>0</v>
      </c>
      <c r="K2666" s="2" t="s">
        <v>864</v>
      </c>
      <c r="L2666" s="43" t="s">
        <v>441</v>
      </c>
      <c r="M2666" s="43" t="s">
        <v>5003</v>
      </c>
      <c r="N2666" s="41" t="s">
        <v>5004</v>
      </c>
      <c r="O2666" s="41" t="s">
        <v>442</v>
      </c>
      <c r="P2666" s="41">
        <v>8</v>
      </c>
      <c r="Q2666" s="41">
        <v>12</v>
      </c>
      <c r="R2666" s="41">
        <v>64</v>
      </c>
      <c r="S2666" t="s">
        <v>443</v>
      </c>
      <c r="T2666" t="s">
        <v>444</v>
      </c>
      <c r="V2666" t="s">
        <v>3878</v>
      </c>
      <c r="AA2666" t="s">
        <v>445</v>
      </c>
      <c r="AH2666" t="s">
        <v>359</v>
      </c>
    </row>
    <row r="2667" spans="1:34" ht="15.75">
      <c r="A2667" s="39">
        <f t="shared" si="44"/>
        <v>19245</v>
      </c>
      <c r="B2667" s="8">
        <v>738</v>
      </c>
      <c r="C2667" s="2">
        <v>3</v>
      </c>
      <c r="D2667" s="8">
        <v>1817</v>
      </c>
      <c r="E2667">
        <v>9418</v>
      </c>
      <c r="F2667" s="9"/>
      <c r="G2667" s="7"/>
      <c r="H2667" s="9" t="s">
        <v>1541</v>
      </c>
      <c r="I2667" s="8">
        <v>5245</v>
      </c>
      <c r="J2667" s="8">
        <v>1400</v>
      </c>
      <c r="K2667" s="2" t="s">
        <v>864</v>
      </c>
      <c r="L2667" s="43" t="s">
        <v>446</v>
      </c>
      <c r="M2667" s="43" t="s">
        <v>447</v>
      </c>
      <c r="O2667" s="43" t="s">
        <v>5299</v>
      </c>
      <c r="P2667" s="43">
        <v>3</v>
      </c>
      <c r="Q2667" s="41">
        <v>11</v>
      </c>
      <c r="R2667" s="41">
        <v>36</v>
      </c>
      <c r="S2667" t="s">
        <v>5300</v>
      </c>
      <c r="T2667" t="s">
        <v>5301</v>
      </c>
      <c r="V2667" t="s">
        <v>3158</v>
      </c>
      <c r="X2667">
        <v>0.5</v>
      </c>
      <c r="Y2667" s="9" t="s">
        <v>5302</v>
      </c>
      <c r="AH2667" t="s">
        <v>359</v>
      </c>
    </row>
    <row r="2668" spans="1:34" ht="15.75">
      <c r="A2668" s="29">
        <f t="shared" si="44"/>
        <v>7285</v>
      </c>
      <c r="B2668" s="2">
        <v>738</v>
      </c>
      <c r="C2668" s="2">
        <v>3</v>
      </c>
      <c r="D2668" s="2">
        <v>1817</v>
      </c>
      <c r="E2668">
        <v>9419</v>
      </c>
      <c r="G2668" s="1"/>
      <c r="H2668" t="s">
        <v>1540</v>
      </c>
      <c r="I2668" s="2">
        <v>7285</v>
      </c>
      <c r="J2668" s="2">
        <v>0</v>
      </c>
      <c r="K2668" s="2" t="s">
        <v>864</v>
      </c>
      <c r="L2668" s="43" t="s">
        <v>968</v>
      </c>
      <c r="P2668" s="43">
        <v>16</v>
      </c>
      <c r="Q2668" s="41">
        <v>3</v>
      </c>
      <c r="R2668" s="41">
        <v>47</v>
      </c>
      <c r="S2668" t="s">
        <v>3321</v>
      </c>
      <c r="AH2668" t="s">
        <v>359</v>
      </c>
    </row>
    <row r="2669" spans="1:34" ht="15.75">
      <c r="A2669" s="29">
        <f t="shared" si="44"/>
        <v>802</v>
      </c>
      <c r="B2669" s="2">
        <v>738</v>
      </c>
      <c r="C2669" s="2">
        <v>3</v>
      </c>
      <c r="D2669" s="2">
        <v>1817</v>
      </c>
      <c r="E2669">
        <v>9420</v>
      </c>
      <c r="G2669" s="1"/>
      <c r="H2669" t="s">
        <v>1541</v>
      </c>
      <c r="I2669" s="2">
        <v>802</v>
      </c>
      <c r="J2669" s="2">
        <v>0</v>
      </c>
      <c r="K2669" s="2" t="s">
        <v>864</v>
      </c>
      <c r="L2669" s="43" t="s">
        <v>968</v>
      </c>
      <c r="P2669" s="43">
        <v>16</v>
      </c>
      <c r="Q2669" s="41">
        <v>5</v>
      </c>
      <c r="R2669" s="41">
        <v>80</v>
      </c>
      <c r="S2669" t="s">
        <v>3329</v>
      </c>
      <c r="AH2669" t="s">
        <v>359</v>
      </c>
    </row>
    <row r="2670" spans="1:34" ht="15.75">
      <c r="A2670" s="29">
        <f t="shared" si="44"/>
        <v>29000</v>
      </c>
      <c r="B2670" s="8">
        <v>739</v>
      </c>
      <c r="C2670" s="2">
        <v>3</v>
      </c>
      <c r="D2670" s="8">
        <v>1817</v>
      </c>
      <c r="E2670">
        <v>9421</v>
      </c>
      <c r="F2670" s="9"/>
      <c r="G2670" s="7"/>
      <c r="H2670" s="9" t="s">
        <v>1541</v>
      </c>
      <c r="I2670" s="8">
        <v>29000</v>
      </c>
      <c r="J2670" s="8">
        <v>0</v>
      </c>
      <c r="K2670" s="2" t="s">
        <v>864</v>
      </c>
      <c r="L2670" s="43" t="s">
        <v>5339</v>
      </c>
      <c r="M2670" s="41" t="s">
        <v>5340</v>
      </c>
      <c r="N2670" s="41" t="s">
        <v>616</v>
      </c>
      <c r="O2670" s="41" t="s">
        <v>5341</v>
      </c>
      <c r="P2670" s="41">
        <v>14</v>
      </c>
      <c r="Q2670" s="41">
        <v>2</v>
      </c>
      <c r="R2670" s="41">
        <v>51</v>
      </c>
      <c r="S2670" s="11" t="s">
        <v>5342</v>
      </c>
      <c r="T2670" s="11" t="s">
        <v>5343</v>
      </c>
      <c r="U2670" s="11"/>
      <c r="V2670" s="11" t="s">
        <v>5344</v>
      </c>
      <c r="W2670" s="11"/>
      <c r="X2670" s="11"/>
      <c r="Y2670" s="11"/>
      <c r="AH2670" t="s">
        <v>359</v>
      </c>
    </row>
    <row r="2671" spans="1:34" ht="15.75">
      <c r="A2671" s="29">
        <f t="shared" si="44"/>
        <v>44</v>
      </c>
      <c r="B2671" s="2">
        <v>738</v>
      </c>
      <c r="C2671" s="2">
        <v>3</v>
      </c>
      <c r="D2671" s="2">
        <v>1817</v>
      </c>
      <c r="E2671">
        <v>9422</v>
      </c>
      <c r="G2671" s="1"/>
      <c r="H2671" t="s">
        <v>1540</v>
      </c>
      <c r="I2671" s="2">
        <v>44</v>
      </c>
      <c r="J2671" s="2">
        <v>0</v>
      </c>
      <c r="K2671" s="2" t="s">
        <v>864</v>
      </c>
      <c r="L2671" s="43" t="s">
        <v>5719</v>
      </c>
      <c r="P2671" s="43">
        <v>19</v>
      </c>
      <c r="Q2671" s="41">
        <v>1</v>
      </c>
      <c r="R2671" s="41">
        <v>78</v>
      </c>
      <c r="S2671" t="s">
        <v>3321</v>
      </c>
      <c r="AH2671" t="s">
        <v>359</v>
      </c>
    </row>
    <row r="2672" spans="1:34" ht="15.75">
      <c r="A2672" s="29">
        <f t="shared" si="44"/>
        <v>263</v>
      </c>
      <c r="B2672" s="2">
        <v>738</v>
      </c>
      <c r="C2672" s="2">
        <v>3</v>
      </c>
      <c r="D2672" s="2">
        <v>1817</v>
      </c>
      <c r="E2672">
        <v>9423</v>
      </c>
      <c r="G2672" s="1"/>
      <c r="H2672" t="s">
        <v>1541</v>
      </c>
      <c r="I2672" s="2">
        <v>263</v>
      </c>
      <c r="J2672" s="2">
        <v>0</v>
      </c>
      <c r="K2672" s="2" t="s">
        <v>864</v>
      </c>
      <c r="L2672" s="43" t="s">
        <v>5719</v>
      </c>
      <c r="P2672" s="43">
        <v>29</v>
      </c>
      <c r="Q2672" s="41">
        <v>5</v>
      </c>
      <c r="R2672" s="41" t="s">
        <v>868</v>
      </c>
      <c r="S2672" t="s">
        <v>1547</v>
      </c>
      <c r="AH2672" t="s">
        <v>359</v>
      </c>
    </row>
    <row r="2673" spans="1:34" ht="15.75">
      <c r="A2673" s="29">
        <f t="shared" si="44"/>
        <v>78645</v>
      </c>
      <c r="B2673" s="8">
        <v>739</v>
      </c>
      <c r="C2673" s="2">
        <v>3</v>
      </c>
      <c r="D2673" s="8">
        <v>1817</v>
      </c>
      <c r="E2673">
        <v>9424</v>
      </c>
      <c r="F2673" s="9"/>
      <c r="G2673" s="7"/>
      <c r="H2673" s="9" t="s">
        <v>1540</v>
      </c>
      <c r="I2673" s="8">
        <v>78645</v>
      </c>
      <c r="J2673" s="8">
        <v>0</v>
      </c>
      <c r="K2673" s="2" t="s">
        <v>864</v>
      </c>
      <c r="L2673" s="43" t="s">
        <v>5303</v>
      </c>
      <c r="M2673" s="43" t="s">
        <v>5304</v>
      </c>
      <c r="N2673" s="41" t="s">
        <v>5305</v>
      </c>
      <c r="O2673" s="41" t="s">
        <v>5306</v>
      </c>
      <c r="P2673" s="41">
        <v>31</v>
      </c>
      <c r="Q2673" s="41">
        <v>3</v>
      </c>
      <c r="R2673" s="41">
        <v>77</v>
      </c>
      <c r="S2673" t="s">
        <v>5307</v>
      </c>
      <c r="T2673" t="s">
        <v>4795</v>
      </c>
      <c r="V2673" t="s">
        <v>5308</v>
      </c>
      <c r="AH2673" t="s">
        <v>359</v>
      </c>
    </row>
    <row r="2674" spans="1:34" ht="15.75">
      <c r="A2674" s="29">
        <f t="shared" si="44"/>
        <v>3385</v>
      </c>
      <c r="B2674" s="2">
        <v>739</v>
      </c>
      <c r="C2674" s="2">
        <v>3</v>
      </c>
      <c r="D2674" s="2">
        <v>1817</v>
      </c>
      <c r="E2674">
        <v>9425</v>
      </c>
      <c r="G2674" s="1"/>
      <c r="H2674" t="s">
        <v>1541</v>
      </c>
      <c r="I2674" s="2">
        <v>3385</v>
      </c>
      <c r="J2674" s="2">
        <v>0</v>
      </c>
      <c r="K2674" s="2" t="s">
        <v>864</v>
      </c>
      <c r="L2674" s="43" t="s">
        <v>1396</v>
      </c>
      <c r="P2674" s="41">
        <v>23</v>
      </c>
      <c r="Q2674" s="41">
        <v>10</v>
      </c>
      <c r="R2674" s="41">
        <v>24</v>
      </c>
      <c r="S2674" t="s">
        <v>1547</v>
      </c>
      <c r="AH2674" t="s">
        <v>359</v>
      </c>
    </row>
    <row r="2675" spans="1:34" ht="15.75">
      <c r="A2675" s="29">
        <f t="shared" si="44"/>
        <v>757</v>
      </c>
      <c r="B2675" s="2">
        <v>739</v>
      </c>
      <c r="C2675" s="2">
        <v>3</v>
      </c>
      <c r="D2675" s="2">
        <v>1817</v>
      </c>
      <c r="E2675">
        <v>9428</v>
      </c>
      <c r="G2675" s="1"/>
      <c r="H2675" t="s">
        <v>1541</v>
      </c>
      <c r="I2675" s="2">
        <v>757</v>
      </c>
      <c r="J2675" s="2">
        <v>0</v>
      </c>
      <c r="K2675" s="2" t="s">
        <v>864</v>
      </c>
      <c r="L2675" s="43" t="s">
        <v>3675</v>
      </c>
      <c r="P2675" s="41">
        <v>9</v>
      </c>
      <c r="Q2675" s="41">
        <v>9</v>
      </c>
      <c r="R2675" s="41">
        <v>76</v>
      </c>
      <c r="S2675" t="s">
        <v>3343</v>
      </c>
      <c r="AH2675" t="s">
        <v>359</v>
      </c>
    </row>
    <row r="2676" spans="1:34" ht="15.75">
      <c r="A2676" s="29">
        <f t="shared" si="44"/>
        <v>900</v>
      </c>
      <c r="B2676" s="8">
        <v>739</v>
      </c>
      <c r="C2676" s="2">
        <v>3</v>
      </c>
      <c r="D2676" s="8">
        <v>1817</v>
      </c>
      <c r="E2676">
        <v>9429</v>
      </c>
      <c r="F2676" s="9"/>
      <c r="G2676" s="7"/>
      <c r="H2676" s="9" t="s">
        <v>1540</v>
      </c>
      <c r="I2676" s="8">
        <v>900</v>
      </c>
      <c r="J2676" s="8">
        <v>0</v>
      </c>
      <c r="K2676" s="2" t="s">
        <v>864</v>
      </c>
      <c r="L2676" s="43" t="s">
        <v>2430</v>
      </c>
      <c r="P2676" s="41">
        <v>3</v>
      </c>
      <c r="Q2676" s="41">
        <v>4</v>
      </c>
      <c r="R2676" s="41">
        <v>65</v>
      </c>
      <c r="S2676" t="s">
        <v>4324</v>
      </c>
      <c r="AH2676" t="s">
        <v>359</v>
      </c>
    </row>
    <row r="2677" spans="1:34" ht="15.75">
      <c r="A2677" s="29">
        <f t="shared" si="44"/>
        <v>43618</v>
      </c>
      <c r="B2677" s="8">
        <v>739</v>
      </c>
      <c r="C2677" s="2">
        <v>3</v>
      </c>
      <c r="D2677" s="8">
        <v>1817</v>
      </c>
      <c r="E2677">
        <v>9430</v>
      </c>
      <c r="F2677" s="9"/>
      <c r="G2677" s="7"/>
      <c r="H2677" s="9" t="s">
        <v>1540</v>
      </c>
      <c r="I2677" s="8">
        <v>43618</v>
      </c>
      <c r="J2677" s="8">
        <v>0</v>
      </c>
      <c r="K2677" s="2" t="s">
        <v>864</v>
      </c>
      <c r="L2677" s="43" t="s">
        <v>5319</v>
      </c>
      <c r="M2677" s="41" t="s">
        <v>5320</v>
      </c>
      <c r="N2677" s="41" t="s">
        <v>1555</v>
      </c>
      <c r="O2677" s="41" t="s">
        <v>5321</v>
      </c>
      <c r="P2677" s="41">
        <v>22</v>
      </c>
      <c r="Q2677" s="41">
        <v>4</v>
      </c>
      <c r="R2677" s="41">
        <v>66</v>
      </c>
      <c r="S2677" t="s">
        <v>3321</v>
      </c>
      <c r="T2677" t="s">
        <v>5322</v>
      </c>
      <c r="V2677" t="s">
        <v>3005</v>
      </c>
      <c r="AH2677" t="s">
        <v>359</v>
      </c>
    </row>
    <row r="2678" spans="1:34" ht="15.75">
      <c r="A2678" s="29">
        <f t="shared" si="44"/>
        <v>8000</v>
      </c>
      <c r="B2678" s="8">
        <v>739</v>
      </c>
      <c r="C2678" s="2">
        <v>3</v>
      </c>
      <c r="D2678" s="8">
        <v>1817</v>
      </c>
      <c r="E2678">
        <v>9431</v>
      </c>
      <c r="F2678" s="9"/>
      <c r="G2678" s="7"/>
      <c r="H2678" s="9" t="s">
        <v>1541</v>
      </c>
      <c r="I2678" s="8">
        <v>0</v>
      </c>
      <c r="J2678" s="8">
        <v>400</v>
      </c>
      <c r="K2678" s="2" t="s">
        <v>864</v>
      </c>
      <c r="L2678" s="43" t="s">
        <v>5323</v>
      </c>
      <c r="M2678" s="41" t="s">
        <v>5324</v>
      </c>
      <c r="N2678" s="41" t="s">
        <v>1545</v>
      </c>
      <c r="O2678" s="41" t="s">
        <v>4936</v>
      </c>
      <c r="P2678" s="41">
        <v>6</v>
      </c>
      <c r="Q2678" s="41">
        <v>6</v>
      </c>
      <c r="S2678" s="11" t="s">
        <v>5325</v>
      </c>
      <c r="T2678" s="11" t="s">
        <v>5326</v>
      </c>
      <c r="U2678" s="11"/>
      <c r="V2678" s="11" t="s">
        <v>5327</v>
      </c>
      <c r="W2678" s="11"/>
      <c r="X2678">
        <v>1</v>
      </c>
      <c r="Y2678" t="s">
        <v>5328</v>
      </c>
      <c r="AH2678" t="s">
        <v>359</v>
      </c>
    </row>
    <row r="2679" spans="1:34" ht="15.75">
      <c r="A2679" s="29">
        <f t="shared" si="44"/>
        <v>9589</v>
      </c>
      <c r="B2679" s="2">
        <v>739</v>
      </c>
      <c r="C2679" s="2">
        <v>3</v>
      </c>
      <c r="D2679" s="2">
        <v>1817</v>
      </c>
      <c r="E2679">
        <v>9432</v>
      </c>
      <c r="G2679" s="1"/>
      <c r="H2679" t="s">
        <v>1541</v>
      </c>
      <c r="I2679" s="2">
        <v>9589</v>
      </c>
      <c r="J2679" s="2">
        <v>0</v>
      </c>
      <c r="K2679" s="2" t="s">
        <v>864</v>
      </c>
      <c r="L2679" s="43" t="s">
        <v>2680</v>
      </c>
      <c r="P2679" s="41">
        <v>8</v>
      </c>
      <c r="Q2679" s="41">
        <v>8</v>
      </c>
      <c r="R2679" s="41" t="s">
        <v>868</v>
      </c>
      <c r="S2679" t="s">
        <v>3321</v>
      </c>
      <c r="AH2679" t="s">
        <v>359</v>
      </c>
    </row>
    <row r="2680" spans="1:34" ht="15.75">
      <c r="A2680" s="29">
        <f t="shared" si="44"/>
        <v>2045</v>
      </c>
      <c r="B2680" s="2">
        <v>739</v>
      </c>
      <c r="C2680" s="2">
        <v>3</v>
      </c>
      <c r="D2680" s="2">
        <v>1817</v>
      </c>
      <c r="E2680">
        <v>9433</v>
      </c>
      <c r="G2680" s="1"/>
      <c r="H2680" t="s">
        <v>1541</v>
      </c>
      <c r="I2680" s="2">
        <v>2045</v>
      </c>
      <c r="J2680" s="2">
        <v>0</v>
      </c>
      <c r="K2680" s="2" t="s">
        <v>864</v>
      </c>
      <c r="L2680" s="43" t="s">
        <v>3659</v>
      </c>
      <c r="P2680" s="41">
        <v>15</v>
      </c>
      <c r="Q2680" s="41">
        <v>5</v>
      </c>
      <c r="R2680" s="41">
        <v>59</v>
      </c>
      <c r="S2680" t="s">
        <v>3321</v>
      </c>
      <c r="AH2680" t="s">
        <v>359</v>
      </c>
    </row>
    <row r="2681" spans="1:34" ht="15.75">
      <c r="A2681" s="29">
        <f t="shared" si="44"/>
        <v>22532</v>
      </c>
      <c r="B2681" s="8">
        <v>739</v>
      </c>
      <c r="C2681" s="2">
        <v>3</v>
      </c>
      <c r="D2681" s="8">
        <v>1817</v>
      </c>
      <c r="E2681">
        <v>9434</v>
      </c>
      <c r="F2681" s="9"/>
      <c r="G2681" s="7"/>
      <c r="H2681" s="9" t="s">
        <v>1541</v>
      </c>
      <c r="I2681" s="8">
        <v>13032</v>
      </c>
      <c r="J2681" s="8">
        <v>3800</v>
      </c>
      <c r="K2681" s="2" t="s">
        <v>864</v>
      </c>
      <c r="L2681" s="43" t="s">
        <v>5334</v>
      </c>
      <c r="M2681" s="41" t="s">
        <v>5335</v>
      </c>
      <c r="O2681" s="41" t="s">
        <v>5336</v>
      </c>
      <c r="P2681" s="41">
        <v>28</v>
      </c>
      <c r="Q2681" s="41">
        <v>8</v>
      </c>
      <c r="R2681" s="41">
        <v>19</v>
      </c>
      <c r="S2681" t="s">
        <v>3343</v>
      </c>
      <c r="T2681" t="s">
        <v>5337</v>
      </c>
      <c r="V2681" t="s">
        <v>3942</v>
      </c>
      <c r="X2681">
        <v>0.125</v>
      </c>
      <c r="Y2681" t="s">
        <v>5338</v>
      </c>
      <c r="AH2681" t="s">
        <v>359</v>
      </c>
    </row>
    <row r="2682" spans="1:34" ht="15.75">
      <c r="A2682" s="29">
        <f t="shared" si="44"/>
        <v>20829</v>
      </c>
      <c r="B2682" s="8">
        <v>739</v>
      </c>
      <c r="C2682" s="2">
        <v>3</v>
      </c>
      <c r="D2682" s="8">
        <v>1817</v>
      </c>
      <c r="E2682">
        <v>9435</v>
      </c>
      <c r="F2682" s="9"/>
      <c r="G2682" s="7"/>
      <c r="H2682" s="9" t="s">
        <v>1541</v>
      </c>
      <c r="I2682" s="8">
        <v>20829</v>
      </c>
      <c r="J2682" s="8">
        <v>0</v>
      </c>
      <c r="K2682" s="2" t="s">
        <v>864</v>
      </c>
      <c r="L2682" s="43" t="s">
        <v>3662</v>
      </c>
      <c r="M2682" s="41" t="s">
        <v>5329</v>
      </c>
      <c r="N2682" s="41" t="s">
        <v>898</v>
      </c>
      <c r="O2682" s="41" t="s">
        <v>5330</v>
      </c>
      <c r="P2682" s="41">
        <v>16</v>
      </c>
      <c r="Q2682" s="41">
        <v>5</v>
      </c>
      <c r="R2682" s="41">
        <v>86</v>
      </c>
      <c r="S2682" s="11" t="s">
        <v>5331</v>
      </c>
      <c r="T2682" s="11" t="s">
        <v>5332</v>
      </c>
      <c r="U2682" s="11"/>
      <c r="V2682" s="11" t="s">
        <v>5333</v>
      </c>
      <c r="W2682" s="11"/>
      <c r="AH2682" t="s">
        <v>359</v>
      </c>
    </row>
    <row r="2683" spans="1:34" ht="15.75">
      <c r="A2683" s="29">
        <f t="shared" si="44"/>
        <v>43278</v>
      </c>
      <c r="B2683" s="8">
        <v>739</v>
      </c>
      <c r="C2683" s="2">
        <v>3</v>
      </c>
      <c r="D2683" s="8">
        <v>1817</v>
      </c>
      <c r="E2683">
        <v>9436</v>
      </c>
      <c r="F2683" s="9"/>
      <c r="G2683" s="7"/>
      <c r="H2683" s="9" t="s">
        <v>1540</v>
      </c>
      <c r="I2683" s="8">
        <v>43278</v>
      </c>
      <c r="J2683" s="8">
        <v>0</v>
      </c>
      <c r="K2683" s="2" t="s">
        <v>864</v>
      </c>
      <c r="L2683" s="43" t="s">
        <v>5345</v>
      </c>
      <c r="M2683" s="41" t="s">
        <v>5346</v>
      </c>
      <c r="N2683" s="41" t="s">
        <v>5679</v>
      </c>
      <c r="O2683" s="41" t="s">
        <v>5341</v>
      </c>
      <c r="P2683" s="41" t="s">
        <v>1547</v>
      </c>
      <c r="Q2683" s="41" t="s">
        <v>1547</v>
      </c>
      <c r="R2683" s="41">
        <v>72</v>
      </c>
      <c r="S2683" t="s">
        <v>5347</v>
      </c>
      <c r="T2683" t="s">
        <v>4329</v>
      </c>
      <c r="V2683" t="s">
        <v>5348</v>
      </c>
      <c r="AH2683" t="s">
        <v>359</v>
      </c>
    </row>
    <row r="2684" spans="1:34" ht="15.75">
      <c r="A2684" s="29">
        <f t="shared" si="44"/>
        <v>13460</v>
      </c>
      <c r="B2684" s="2">
        <v>740</v>
      </c>
      <c r="C2684" s="2">
        <v>3</v>
      </c>
      <c r="D2684" s="2">
        <v>1817</v>
      </c>
      <c r="E2684">
        <v>9437</v>
      </c>
      <c r="H2684" t="s">
        <v>1541</v>
      </c>
      <c r="I2684" s="1">
        <v>0</v>
      </c>
      <c r="J2684" s="1">
        <v>673</v>
      </c>
      <c r="K2684" s="2" t="s">
        <v>864</v>
      </c>
      <c r="L2684" s="43" t="s">
        <v>5723</v>
      </c>
      <c r="P2684" s="41">
        <v>27</v>
      </c>
      <c r="Q2684" s="41">
        <v>5</v>
      </c>
      <c r="R2684" s="41" t="s">
        <v>868</v>
      </c>
      <c r="S2684" t="s">
        <v>3329</v>
      </c>
      <c r="X2684">
        <v>1</v>
      </c>
      <c r="Y2684" t="s">
        <v>5349</v>
      </c>
      <c r="AH2684" t="s">
        <v>359</v>
      </c>
    </row>
    <row r="2685" spans="1:34" ht="15.75">
      <c r="A2685" s="29">
        <f t="shared" si="44"/>
        <v>1428.5714285714284</v>
      </c>
      <c r="B2685" s="2">
        <v>740</v>
      </c>
      <c r="C2685" s="2">
        <v>3</v>
      </c>
      <c r="D2685" s="2">
        <v>1817</v>
      </c>
      <c r="E2685">
        <v>9438</v>
      </c>
      <c r="H2685" t="s">
        <v>1541</v>
      </c>
      <c r="I2685" s="1">
        <v>0</v>
      </c>
      <c r="J2685" s="1">
        <v>500</v>
      </c>
      <c r="K2685" s="2" t="s">
        <v>864</v>
      </c>
      <c r="L2685" s="43" t="s">
        <v>5723</v>
      </c>
      <c r="P2685" s="41">
        <v>14</v>
      </c>
      <c r="Q2685" s="41">
        <v>8</v>
      </c>
      <c r="R2685" s="41">
        <v>20</v>
      </c>
      <c r="S2685" t="s">
        <v>3343</v>
      </c>
      <c r="X2685">
        <f>1/7</f>
        <v>0.14285714285714285</v>
      </c>
      <c r="Y2685" t="s">
        <v>5351</v>
      </c>
      <c r="AH2685" t="s">
        <v>359</v>
      </c>
    </row>
    <row r="2686" spans="1:34" ht="15.75">
      <c r="A2686" s="29">
        <f t="shared" si="44"/>
        <v>352</v>
      </c>
      <c r="B2686" s="2">
        <v>740</v>
      </c>
      <c r="C2686" s="2">
        <v>3</v>
      </c>
      <c r="D2686" s="2">
        <v>1817</v>
      </c>
      <c r="E2686">
        <v>9439</v>
      </c>
      <c r="H2686" t="s">
        <v>1540</v>
      </c>
      <c r="I2686" s="1">
        <v>352</v>
      </c>
      <c r="J2686" s="1">
        <v>0</v>
      </c>
      <c r="K2686" s="2" t="s">
        <v>864</v>
      </c>
      <c r="L2686" s="43" t="s">
        <v>5723</v>
      </c>
      <c r="P2686" s="41">
        <v>3</v>
      </c>
      <c r="Q2686" s="41">
        <v>7</v>
      </c>
      <c r="R2686" s="41">
        <v>53</v>
      </c>
      <c r="S2686" t="s">
        <v>3321</v>
      </c>
      <c r="AH2686" t="s">
        <v>359</v>
      </c>
    </row>
    <row r="2687" spans="1:34" ht="15.75">
      <c r="A2687" s="29">
        <f t="shared" si="44"/>
        <v>5874</v>
      </c>
      <c r="B2687" s="2">
        <v>740</v>
      </c>
      <c r="C2687" s="2">
        <v>3</v>
      </c>
      <c r="D2687" s="2">
        <v>1817</v>
      </c>
      <c r="E2687">
        <v>9440</v>
      </c>
      <c r="H2687" t="s">
        <v>1540</v>
      </c>
      <c r="I2687" s="1">
        <v>874</v>
      </c>
      <c r="J2687" s="1">
        <v>250</v>
      </c>
      <c r="K2687" s="2" t="s">
        <v>864</v>
      </c>
      <c r="L2687" s="43" t="s">
        <v>2682</v>
      </c>
      <c r="P2687" s="41">
        <v>14</v>
      </c>
      <c r="Q2687" s="41">
        <v>7</v>
      </c>
      <c r="R2687" s="41">
        <v>63</v>
      </c>
      <c r="S2687" t="s">
        <v>3321</v>
      </c>
      <c r="X2687">
        <v>1</v>
      </c>
      <c r="Y2687" t="s">
        <v>5350</v>
      </c>
      <c r="AH2687" t="s">
        <v>359</v>
      </c>
    </row>
    <row r="2688" spans="1:34" ht="15.75">
      <c r="A2688" s="29">
        <f t="shared" si="44"/>
        <v>40944</v>
      </c>
      <c r="B2688" s="2">
        <v>740</v>
      </c>
      <c r="C2688" s="2">
        <v>3</v>
      </c>
      <c r="D2688" s="2">
        <v>1817</v>
      </c>
      <c r="E2688">
        <v>9441</v>
      </c>
      <c r="H2688" t="s">
        <v>1541</v>
      </c>
      <c r="I2688" s="1">
        <v>25224</v>
      </c>
      <c r="J2688" s="1">
        <v>786</v>
      </c>
      <c r="K2688" s="2" t="s">
        <v>864</v>
      </c>
      <c r="L2688" s="43" t="s">
        <v>5352</v>
      </c>
      <c r="M2688" s="41" t="s">
        <v>3449</v>
      </c>
      <c r="N2688" s="41" t="s">
        <v>1545</v>
      </c>
      <c r="O2688" s="41" t="s">
        <v>5353</v>
      </c>
      <c r="P2688" s="41">
        <v>31</v>
      </c>
      <c r="Q2688" s="41">
        <v>12</v>
      </c>
      <c r="R2688" s="41">
        <v>74</v>
      </c>
      <c r="S2688" t="s">
        <v>1547</v>
      </c>
      <c r="T2688" t="s">
        <v>5354</v>
      </c>
      <c r="V2688" t="s">
        <v>5355</v>
      </c>
      <c r="X2688">
        <v>1</v>
      </c>
      <c r="Y2688" t="s">
        <v>5356</v>
      </c>
      <c r="AH2688" t="s">
        <v>359</v>
      </c>
    </row>
    <row r="2689" spans="1:34" ht="15.75">
      <c r="A2689" s="29">
        <f t="shared" si="44"/>
        <v>2669</v>
      </c>
      <c r="B2689" s="2">
        <v>740</v>
      </c>
      <c r="C2689" s="2">
        <v>3</v>
      </c>
      <c r="D2689" s="2">
        <v>1817</v>
      </c>
      <c r="E2689">
        <v>9442</v>
      </c>
      <c r="H2689" t="s">
        <v>1541</v>
      </c>
      <c r="I2689" s="1">
        <v>2669</v>
      </c>
      <c r="J2689" s="1">
        <v>0</v>
      </c>
      <c r="K2689" s="2" t="s">
        <v>864</v>
      </c>
      <c r="L2689" s="43" t="s">
        <v>5724</v>
      </c>
      <c r="P2689" s="41">
        <v>3</v>
      </c>
      <c r="Q2689" s="41">
        <v>3</v>
      </c>
      <c r="R2689" s="41">
        <v>25</v>
      </c>
      <c r="S2689" t="s">
        <v>3343</v>
      </c>
      <c r="AH2689" t="s">
        <v>359</v>
      </c>
    </row>
    <row r="2690" spans="1:34" ht="15.75">
      <c r="A2690" s="29">
        <f t="shared" si="44"/>
        <v>2288</v>
      </c>
      <c r="B2690" s="2">
        <v>740</v>
      </c>
      <c r="C2690" s="2">
        <v>3</v>
      </c>
      <c r="D2690" s="2">
        <v>1817</v>
      </c>
      <c r="E2690">
        <v>9443</v>
      </c>
      <c r="H2690" t="s">
        <v>1540</v>
      </c>
      <c r="I2690" s="1">
        <v>2288</v>
      </c>
      <c r="J2690" s="1">
        <v>0</v>
      </c>
      <c r="K2690" s="2" t="s">
        <v>864</v>
      </c>
      <c r="L2690" s="43" t="s">
        <v>5724</v>
      </c>
      <c r="P2690" s="41">
        <v>3</v>
      </c>
      <c r="Q2690" s="41">
        <v>2</v>
      </c>
      <c r="R2690" s="41">
        <v>63</v>
      </c>
      <c r="S2690" t="s">
        <v>1547</v>
      </c>
      <c r="AH2690" t="s">
        <v>359</v>
      </c>
    </row>
    <row r="2691" spans="1:34" ht="15.75">
      <c r="A2691" s="29">
        <f aca="true" t="shared" si="45" ref="A2691:A2709">I2691+J2691*20*X2691</f>
        <v>120</v>
      </c>
      <c r="B2691" s="2">
        <v>740</v>
      </c>
      <c r="C2691" s="2">
        <v>3</v>
      </c>
      <c r="D2691" s="2">
        <v>1817</v>
      </c>
      <c r="E2691">
        <v>9444</v>
      </c>
      <c r="H2691" t="s">
        <v>1541</v>
      </c>
      <c r="I2691" s="1">
        <v>120</v>
      </c>
      <c r="J2691" s="1">
        <v>0</v>
      </c>
      <c r="K2691" s="2" t="s">
        <v>864</v>
      </c>
      <c r="L2691" s="43" t="s">
        <v>5724</v>
      </c>
      <c r="P2691" s="41">
        <v>23</v>
      </c>
      <c r="Q2691" s="41">
        <v>10</v>
      </c>
      <c r="R2691" s="41" t="s">
        <v>868</v>
      </c>
      <c r="S2691" t="s">
        <v>3321</v>
      </c>
      <c r="AH2691" t="s">
        <v>359</v>
      </c>
    </row>
    <row r="2692" spans="1:34" ht="15.75">
      <c r="A2692" s="29">
        <f t="shared" si="45"/>
        <v>372</v>
      </c>
      <c r="B2692" s="2">
        <v>740</v>
      </c>
      <c r="C2692" s="2">
        <v>3</v>
      </c>
      <c r="D2692" s="2">
        <v>1817</v>
      </c>
      <c r="E2692">
        <v>9445</v>
      </c>
      <c r="H2692" t="s">
        <v>1541</v>
      </c>
      <c r="I2692" s="1">
        <v>372</v>
      </c>
      <c r="J2692" s="1">
        <v>0</v>
      </c>
      <c r="K2692" s="2" t="s">
        <v>864</v>
      </c>
      <c r="L2692" s="43" t="s">
        <v>5725</v>
      </c>
      <c r="P2692" s="41">
        <v>18</v>
      </c>
      <c r="Q2692" s="41">
        <v>11</v>
      </c>
      <c r="R2692" s="41">
        <v>86</v>
      </c>
      <c r="S2692" t="s">
        <v>1547</v>
      </c>
      <c r="AH2692" t="s">
        <v>359</v>
      </c>
    </row>
    <row r="2693" spans="1:34" ht="15.75">
      <c r="A2693" s="29">
        <f t="shared" si="45"/>
        <v>118</v>
      </c>
      <c r="B2693" s="2">
        <v>740</v>
      </c>
      <c r="C2693" s="2">
        <v>3</v>
      </c>
      <c r="D2693" s="2">
        <v>1817</v>
      </c>
      <c r="E2693">
        <v>9446</v>
      </c>
      <c r="H2693" t="s">
        <v>1541</v>
      </c>
      <c r="I2693" s="1">
        <v>118</v>
      </c>
      <c r="J2693" s="1">
        <v>0</v>
      </c>
      <c r="K2693" s="2" t="s">
        <v>864</v>
      </c>
      <c r="L2693" s="43" t="s">
        <v>5726</v>
      </c>
      <c r="P2693" s="41">
        <v>12</v>
      </c>
      <c r="Q2693" s="41">
        <v>2</v>
      </c>
      <c r="R2693" s="41">
        <v>65</v>
      </c>
      <c r="S2693" t="s">
        <v>1547</v>
      </c>
      <c r="AH2693" t="s">
        <v>359</v>
      </c>
    </row>
    <row r="2694" spans="1:34" ht="15.75">
      <c r="A2694" s="29">
        <f t="shared" si="45"/>
        <v>244.5</v>
      </c>
      <c r="B2694" s="2">
        <v>740</v>
      </c>
      <c r="C2694" s="2">
        <v>3</v>
      </c>
      <c r="D2694" s="2">
        <v>1817</v>
      </c>
      <c r="E2694">
        <v>9447</v>
      </c>
      <c r="H2694" t="s">
        <v>1540</v>
      </c>
      <c r="I2694" s="1">
        <f>489/2</f>
        <v>244.5</v>
      </c>
      <c r="J2694" s="1">
        <v>0</v>
      </c>
      <c r="K2694" s="2" t="s">
        <v>864</v>
      </c>
      <c r="L2694" s="43" t="s">
        <v>5726</v>
      </c>
      <c r="P2694" s="41">
        <v>28</v>
      </c>
      <c r="Q2694" s="41">
        <v>12</v>
      </c>
      <c r="R2694" s="41">
        <v>71</v>
      </c>
      <c r="S2694" t="s">
        <v>3321</v>
      </c>
      <c r="AH2694" t="s">
        <v>359</v>
      </c>
    </row>
    <row r="2695" spans="1:34" ht="15.75">
      <c r="A2695" s="29">
        <f t="shared" si="45"/>
        <v>50</v>
      </c>
      <c r="B2695" s="2">
        <v>740</v>
      </c>
      <c r="C2695" s="2">
        <v>3</v>
      </c>
      <c r="D2695" s="2">
        <v>1817</v>
      </c>
      <c r="E2695">
        <v>9448</v>
      </c>
      <c r="H2695" t="s">
        <v>1541</v>
      </c>
      <c r="I2695" s="1">
        <v>50</v>
      </c>
      <c r="J2695" s="1">
        <v>0</v>
      </c>
      <c r="K2695" s="2" t="s">
        <v>864</v>
      </c>
      <c r="L2695" s="43" t="s">
        <v>3650</v>
      </c>
      <c r="P2695" s="41">
        <v>27</v>
      </c>
      <c r="Q2695" s="41">
        <v>4</v>
      </c>
      <c r="R2695" s="41">
        <v>27</v>
      </c>
      <c r="S2695" t="s">
        <v>3343</v>
      </c>
      <c r="AH2695" t="s">
        <v>359</v>
      </c>
    </row>
    <row r="2696" spans="1:34" ht="15.75">
      <c r="A2696" s="29">
        <f t="shared" si="45"/>
        <v>36</v>
      </c>
      <c r="B2696" s="2">
        <v>740</v>
      </c>
      <c r="C2696" s="2">
        <v>3</v>
      </c>
      <c r="D2696" s="2">
        <v>1817</v>
      </c>
      <c r="E2696">
        <v>9449</v>
      </c>
      <c r="H2696" t="s">
        <v>1540</v>
      </c>
      <c r="I2696" s="1">
        <v>36</v>
      </c>
      <c r="J2696" s="1">
        <v>0</v>
      </c>
      <c r="K2696" s="2" t="s">
        <v>864</v>
      </c>
      <c r="L2696" s="43" t="s">
        <v>3663</v>
      </c>
      <c r="P2696" s="41">
        <v>13</v>
      </c>
      <c r="Q2696" s="41">
        <v>10</v>
      </c>
      <c r="R2696" s="41">
        <v>79</v>
      </c>
      <c r="S2696" t="s">
        <v>3321</v>
      </c>
      <c r="AH2696" t="s">
        <v>359</v>
      </c>
    </row>
    <row r="2697" spans="1:34" ht="15.75">
      <c r="A2697" s="29">
        <f t="shared" si="45"/>
        <v>172</v>
      </c>
      <c r="B2697" s="2">
        <v>740</v>
      </c>
      <c r="C2697" s="2">
        <v>3</v>
      </c>
      <c r="D2697" s="2">
        <v>1817</v>
      </c>
      <c r="E2697">
        <v>9450</v>
      </c>
      <c r="H2697" t="s">
        <v>1541</v>
      </c>
      <c r="I2697" s="1">
        <v>172</v>
      </c>
      <c r="J2697" s="1">
        <v>0</v>
      </c>
      <c r="K2697" s="2" t="s">
        <v>864</v>
      </c>
      <c r="L2697" s="43" t="s">
        <v>3644</v>
      </c>
      <c r="P2697" s="41">
        <v>31</v>
      </c>
      <c r="Q2697" s="41">
        <v>8</v>
      </c>
      <c r="R2697" s="41">
        <v>80</v>
      </c>
      <c r="S2697" t="s">
        <v>3329</v>
      </c>
      <c r="AH2697" t="s">
        <v>359</v>
      </c>
    </row>
    <row r="2698" spans="1:34" ht="15.75">
      <c r="A2698" s="29">
        <f t="shared" si="45"/>
        <v>30000</v>
      </c>
      <c r="B2698" s="2">
        <v>740</v>
      </c>
      <c r="C2698" s="2">
        <v>3</v>
      </c>
      <c r="D2698" s="2">
        <v>1817</v>
      </c>
      <c r="E2698">
        <v>9451</v>
      </c>
      <c r="H2698" t="s">
        <v>1540</v>
      </c>
      <c r="I2698" s="1">
        <v>30000</v>
      </c>
      <c r="J2698" s="1">
        <v>0</v>
      </c>
      <c r="K2698" s="2" t="s">
        <v>864</v>
      </c>
      <c r="L2698" s="43" t="s">
        <v>5357</v>
      </c>
      <c r="M2698" s="41" t="s">
        <v>5358</v>
      </c>
      <c r="O2698" s="41" t="s">
        <v>5359</v>
      </c>
      <c r="P2698" s="41">
        <v>16</v>
      </c>
      <c r="Q2698" s="41">
        <v>9</v>
      </c>
      <c r="R2698" s="41">
        <v>68</v>
      </c>
      <c r="S2698" t="s">
        <v>5360</v>
      </c>
      <c r="V2698" t="s">
        <v>1547</v>
      </c>
      <c r="AG2698" t="s">
        <v>1808</v>
      </c>
      <c r="AH2698" t="s">
        <v>359</v>
      </c>
    </row>
    <row r="2699" spans="1:34" ht="15.75">
      <c r="A2699" s="29">
        <f t="shared" si="45"/>
        <v>77</v>
      </c>
      <c r="B2699" s="2">
        <v>740</v>
      </c>
      <c r="C2699" s="2">
        <v>3</v>
      </c>
      <c r="D2699" s="2">
        <v>1817</v>
      </c>
      <c r="E2699">
        <v>9452</v>
      </c>
      <c r="H2699" t="s">
        <v>1541</v>
      </c>
      <c r="I2699" s="1">
        <v>77</v>
      </c>
      <c r="J2699" s="1">
        <v>0</v>
      </c>
      <c r="K2699" s="2" t="s">
        <v>864</v>
      </c>
      <c r="L2699" s="43" t="s">
        <v>2441</v>
      </c>
      <c r="P2699" s="41">
        <v>5</v>
      </c>
      <c r="Q2699" s="41">
        <v>12</v>
      </c>
      <c r="R2699" s="41">
        <v>81</v>
      </c>
      <c r="S2699" t="s">
        <v>1547</v>
      </c>
      <c r="AH2699" t="s">
        <v>359</v>
      </c>
    </row>
    <row r="2700" spans="1:34" ht="15.75">
      <c r="A2700" s="29">
        <f t="shared" si="45"/>
        <v>1430</v>
      </c>
      <c r="B2700" s="2">
        <v>740</v>
      </c>
      <c r="C2700" s="2">
        <v>3</v>
      </c>
      <c r="D2700" s="2">
        <v>1817</v>
      </c>
      <c r="E2700">
        <v>9453</v>
      </c>
      <c r="H2700" t="s">
        <v>1540</v>
      </c>
      <c r="I2700" s="1">
        <v>1430</v>
      </c>
      <c r="J2700" s="1">
        <v>0</v>
      </c>
      <c r="K2700" s="2" t="s">
        <v>864</v>
      </c>
      <c r="L2700" s="43" t="s">
        <v>5728</v>
      </c>
      <c r="P2700" s="41">
        <v>12</v>
      </c>
      <c r="Q2700" s="41">
        <v>1</v>
      </c>
      <c r="R2700" s="41">
        <v>34</v>
      </c>
      <c r="S2700" t="s">
        <v>3321</v>
      </c>
      <c r="AH2700" t="s">
        <v>359</v>
      </c>
    </row>
    <row r="2701" spans="1:34" ht="15.75">
      <c r="A2701" s="29">
        <f t="shared" si="45"/>
        <v>2235</v>
      </c>
      <c r="B2701" s="2">
        <v>740</v>
      </c>
      <c r="C2701" s="2">
        <v>3</v>
      </c>
      <c r="D2701" s="2">
        <v>1817</v>
      </c>
      <c r="E2701">
        <v>9454</v>
      </c>
      <c r="H2701" t="s">
        <v>1541</v>
      </c>
      <c r="I2701" s="1">
        <v>2235</v>
      </c>
      <c r="J2701" s="1">
        <v>0</v>
      </c>
      <c r="K2701" s="2" t="s">
        <v>864</v>
      </c>
      <c r="L2701" s="43" t="s">
        <v>5728</v>
      </c>
      <c r="P2701" s="41">
        <v>20</v>
      </c>
      <c r="Q2701" s="41">
        <v>11</v>
      </c>
      <c r="R2701" s="41">
        <v>83</v>
      </c>
      <c r="S2701" t="s">
        <v>1547</v>
      </c>
      <c r="AH2701" t="s">
        <v>359</v>
      </c>
    </row>
    <row r="2702" spans="1:34" ht="15.75">
      <c r="A2702" s="29">
        <f t="shared" si="45"/>
        <v>296</v>
      </c>
      <c r="B2702" s="2">
        <v>741</v>
      </c>
      <c r="C2702" s="2">
        <v>3</v>
      </c>
      <c r="D2702" s="2">
        <v>1817</v>
      </c>
      <c r="E2702">
        <v>9455</v>
      </c>
      <c r="G2702" s="1"/>
      <c r="H2702" t="s">
        <v>1541</v>
      </c>
      <c r="I2702" s="2">
        <v>296</v>
      </c>
      <c r="J2702" s="2">
        <v>0</v>
      </c>
      <c r="K2702" s="2" t="s">
        <v>864</v>
      </c>
      <c r="L2702" s="43" t="s">
        <v>5729</v>
      </c>
      <c r="P2702" s="41">
        <v>4</v>
      </c>
      <c r="Q2702" s="41">
        <v>11</v>
      </c>
      <c r="R2702" s="41" t="s">
        <v>868</v>
      </c>
      <c r="S2702" t="s">
        <v>3329</v>
      </c>
      <c r="AH2702" t="s">
        <v>359</v>
      </c>
    </row>
    <row r="2703" spans="1:34" ht="15.75">
      <c r="A2703" s="29">
        <f t="shared" si="45"/>
        <v>17555</v>
      </c>
      <c r="B2703" s="8">
        <v>741</v>
      </c>
      <c r="C2703" s="2">
        <v>3</v>
      </c>
      <c r="D2703" s="8">
        <v>1817</v>
      </c>
      <c r="E2703">
        <v>9456</v>
      </c>
      <c r="F2703" s="9"/>
      <c r="G2703" s="7"/>
      <c r="H2703" s="9" t="s">
        <v>1540</v>
      </c>
      <c r="I2703" s="8">
        <v>17555</v>
      </c>
      <c r="J2703" s="8">
        <v>0</v>
      </c>
      <c r="K2703" s="2" t="s">
        <v>864</v>
      </c>
      <c r="L2703" s="43" t="s">
        <v>1809</v>
      </c>
      <c r="M2703" s="41" t="s">
        <v>2942</v>
      </c>
      <c r="N2703" s="41" t="s">
        <v>1810</v>
      </c>
      <c r="O2703" s="41" t="s">
        <v>1811</v>
      </c>
      <c r="P2703" s="41">
        <v>18</v>
      </c>
      <c r="Q2703" s="41">
        <v>11</v>
      </c>
      <c r="R2703" s="41" t="s">
        <v>868</v>
      </c>
      <c r="S2703" t="s">
        <v>1812</v>
      </c>
      <c r="T2703" t="s">
        <v>1407</v>
      </c>
      <c r="U2703" t="s">
        <v>2783</v>
      </c>
      <c r="V2703" t="s">
        <v>3170</v>
      </c>
      <c r="AH2703" t="s">
        <v>359</v>
      </c>
    </row>
    <row r="2704" spans="1:34" ht="15.75">
      <c r="A2704" s="29">
        <f t="shared" si="45"/>
        <v>188</v>
      </c>
      <c r="B2704" s="8">
        <v>741</v>
      </c>
      <c r="C2704" s="2">
        <v>3</v>
      </c>
      <c r="D2704" s="8">
        <v>1817</v>
      </c>
      <c r="E2704">
        <v>9457</v>
      </c>
      <c r="F2704" s="9"/>
      <c r="G2704" s="7"/>
      <c r="H2704" s="9" t="s">
        <v>1540</v>
      </c>
      <c r="I2704" s="8">
        <v>188</v>
      </c>
      <c r="J2704" s="8">
        <v>0</v>
      </c>
      <c r="K2704" s="2" t="s">
        <v>864</v>
      </c>
      <c r="L2704" s="43" t="s">
        <v>5731</v>
      </c>
      <c r="P2704" s="41">
        <v>13</v>
      </c>
      <c r="Q2704" s="41">
        <v>3</v>
      </c>
      <c r="R2704" s="41">
        <v>57</v>
      </c>
      <c r="S2704" t="s">
        <v>3321</v>
      </c>
      <c r="AH2704" t="s">
        <v>359</v>
      </c>
    </row>
    <row r="2705" spans="1:34" ht="15.75">
      <c r="A2705" s="29">
        <f t="shared" si="45"/>
        <v>120154</v>
      </c>
      <c r="B2705" s="8">
        <v>741</v>
      </c>
      <c r="C2705" s="2">
        <v>3</v>
      </c>
      <c r="D2705" s="8">
        <v>1817</v>
      </c>
      <c r="E2705">
        <v>9458</v>
      </c>
      <c r="F2705" s="9"/>
      <c r="G2705" s="7"/>
      <c r="H2705" s="9" t="s">
        <v>1541</v>
      </c>
      <c r="I2705" s="8">
        <v>120154</v>
      </c>
      <c r="J2705" s="8">
        <v>0</v>
      </c>
      <c r="K2705" s="2" t="s">
        <v>864</v>
      </c>
      <c r="L2705" s="43" t="s">
        <v>1823</v>
      </c>
      <c r="M2705" s="41" t="s">
        <v>1824</v>
      </c>
      <c r="N2705" s="41" t="s">
        <v>1555</v>
      </c>
      <c r="O2705" s="41" t="s">
        <v>1825</v>
      </c>
      <c r="P2705" s="41">
        <v>8</v>
      </c>
      <c r="Q2705" s="41">
        <v>6</v>
      </c>
      <c r="R2705" s="41" t="s">
        <v>868</v>
      </c>
      <c r="S2705" t="s">
        <v>1827</v>
      </c>
      <c r="T2705" t="s">
        <v>1828</v>
      </c>
      <c r="U2705" t="s">
        <v>1826</v>
      </c>
      <c r="V2705" t="s">
        <v>832</v>
      </c>
      <c r="AH2705" t="s">
        <v>359</v>
      </c>
    </row>
    <row r="2706" spans="1:34" ht="15.75">
      <c r="A2706" s="29">
        <f t="shared" si="45"/>
        <v>18026</v>
      </c>
      <c r="B2706" s="8">
        <v>741</v>
      </c>
      <c r="C2706" s="2">
        <v>3</v>
      </c>
      <c r="D2706" s="8">
        <v>1817</v>
      </c>
      <c r="E2706">
        <v>9459</v>
      </c>
      <c r="F2706" s="9"/>
      <c r="G2706" s="7"/>
      <c r="H2706" s="9" t="s">
        <v>1540</v>
      </c>
      <c r="I2706" s="8">
        <v>12026</v>
      </c>
      <c r="J2706" s="8">
        <v>300</v>
      </c>
      <c r="K2706" s="2" t="s">
        <v>864</v>
      </c>
      <c r="L2706" s="43" t="s">
        <v>1818</v>
      </c>
      <c r="M2706" s="41" t="s">
        <v>1819</v>
      </c>
      <c r="N2706" s="41" t="s">
        <v>1555</v>
      </c>
      <c r="O2706" s="41" t="s">
        <v>1820</v>
      </c>
      <c r="P2706" s="41">
        <v>26</v>
      </c>
      <c r="Q2706" s="41">
        <v>6</v>
      </c>
      <c r="R2706" s="41">
        <v>56</v>
      </c>
      <c r="S2706" t="s">
        <v>1821</v>
      </c>
      <c r="T2706" t="s">
        <v>4785</v>
      </c>
      <c r="V2706" t="s">
        <v>2410</v>
      </c>
      <c r="X2706">
        <v>1</v>
      </c>
      <c r="Y2706" t="s">
        <v>1822</v>
      </c>
      <c r="AH2706" t="s">
        <v>359</v>
      </c>
    </row>
    <row r="2707" spans="1:34" ht="15.75">
      <c r="A2707" s="29">
        <f t="shared" si="45"/>
        <v>7000</v>
      </c>
      <c r="B2707" s="8">
        <v>741</v>
      </c>
      <c r="C2707" s="2">
        <v>3</v>
      </c>
      <c r="D2707" s="8">
        <v>1817</v>
      </c>
      <c r="E2707">
        <v>9460</v>
      </c>
      <c r="F2707" s="9"/>
      <c r="G2707" s="7"/>
      <c r="H2707" s="9" t="s">
        <v>1541</v>
      </c>
      <c r="I2707" s="8">
        <v>0</v>
      </c>
      <c r="J2707" s="8">
        <v>350</v>
      </c>
      <c r="K2707" s="2" t="s">
        <v>864</v>
      </c>
      <c r="L2707" s="43" t="s">
        <v>3649</v>
      </c>
      <c r="P2707" s="41">
        <v>16</v>
      </c>
      <c r="Q2707" s="41">
        <v>8</v>
      </c>
      <c r="R2707" s="41" t="s">
        <v>868</v>
      </c>
      <c r="S2707" t="s">
        <v>1547</v>
      </c>
      <c r="X2707">
        <v>1</v>
      </c>
      <c r="Y2707" t="s">
        <v>1829</v>
      </c>
      <c r="AH2707" t="s">
        <v>359</v>
      </c>
    </row>
    <row r="2708" spans="1:34" ht="15.75">
      <c r="A2708" s="29">
        <f t="shared" si="45"/>
        <v>43647</v>
      </c>
      <c r="B2708" s="8">
        <v>741</v>
      </c>
      <c r="C2708" s="2">
        <v>3</v>
      </c>
      <c r="D2708" s="8">
        <v>1817</v>
      </c>
      <c r="E2708">
        <v>9461</v>
      </c>
      <c r="F2708" s="9"/>
      <c r="G2708" s="7"/>
      <c r="H2708" s="9" t="s">
        <v>1541</v>
      </c>
      <c r="I2708" s="8">
        <v>43647</v>
      </c>
      <c r="J2708" s="8">
        <v>0</v>
      </c>
      <c r="K2708" s="2" t="s">
        <v>864</v>
      </c>
      <c r="L2708" s="43" t="s">
        <v>1813</v>
      </c>
      <c r="M2708" s="41" t="s">
        <v>1814</v>
      </c>
      <c r="N2708" s="41" t="s">
        <v>1555</v>
      </c>
      <c r="O2708" s="41" t="s">
        <v>1815</v>
      </c>
      <c r="P2708" s="41">
        <v>29</v>
      </c>
      <c r="Q2708" s="41">
        <v>12</v>
      </c>
      <c r="R2708" s="41">
        <v>48</v>
      </c>
      <c r="S2708" t="s">
        <v>1816</v>
      </c>
      <c r="T2708" t="s">
        <v>1817</v>
      </c>
      <c r="V2708" t="s">
        <v>1675</v>
      </c>
      <c r="AH2708" t="s">
        <v>359</v>
      </c>
    </row>
    <row r="2709" spans="1:34" ht="15.75">
      <c r="A2709" s="29">
        <f t="shared" si="45"/>
        <v>112</v>
      </c>
      <c r="B2709" s="2">
        <v>741</v>
      </c>
      <c r="C2709" s="2">
        <v>3</v>
      </c>
      <c r="D2709" s="2">
        <v>1817</v>
      </c>
      <c r="E2709">
        <v>9462</v>
      </c>
      <c r="G2709" s="1"/>
      <c r="H2709" t="s">
        <v>850</v>
      </c>
      <c r="I2709" s="2">
        <v>112</v>
      </c>
      <c r="J2709" s="2">
        <v>0</v>
      </c>
      <c r="K2709" s="2" t="s">
        <v>864</v>
      </c>
      <c r="L2709" s="43" t="s">
        <v>1834</v>
      </c>
      <c r="P2709" s="41">
        <v>13</v>
      </c>
      <c r="Q2709" s="41">
        <v>8</v>
      </c>
      <c r="R2709" s="41">
        <v>32</v>
      </c>
      <c r="S2709" t="s">
        <v>3321</v>
      </c>
      <c r="AH2709" t="s">
        <v>359</v>
      </c>
    </row>
    <row r="2710" spans="1:34" ht="15.75">
      <c r="A2710" s="39">
        <v>0</v>
      </c>
      <c r="B2710" s="2">
        <v>741</v>
      </c>
      <c r="C2710" s="2">
        <v>3</v>
      </c>
      <c r="D2710" s="2">
        <v>1817</v>
      </c>
      <c r="E2710">
        <v>9464</v>
      </c>
      <c r="G2710" s="1"/>
      <c r="H2710" t="s">
        <v>1541</v>
      </c>
      <c r="I2710" s="3">
        <f>38+3200</f>
        <v>3238</v>
      </c>
      <c r="J2710" s="2">
        <v>0</v>
      </c>
      <c r="K2710" s="2" t="s">
        <v>864</v>
      </c>
      <c r="L2710" s="43" t="s">
        <v>3658</v>
      </c>
      <c r="P2710" s="41">
        <v>14</v>
      </c>
      <c r="Q2710" s="41">
        <v>9</v>
      </c>
      <c r="R2710" s="41">
        <v>65</v>
      </c>
      <c r="S2710" t="s">
        <v>3343</v>
      </c>
      <c r="AH2710" t="s">
        <v>359</v>
      </c>
    </row>
    <row r="2711" spans="1:34" ht="15.75">
      <c r="A2711" s="29">
        <f aca="true" t="shared" si="46" ref="A2711:A2774">I2711+J2711*20*X2711</f>
        <v>89268</v>
      </c>
      <c r="B2711" s="8">
        <v>742</v>
      </c>
      <c r="C2711" s="2">
        <v>3</v>
      </c>
      <c r="D2711" s="8">
        <v>1817</v>
      </c>
      <c r="E2711">
        <v>9465</v>
      </c>
      <c r="F2711" s="9"/>
      <c r="G2711" s="7"/>
      <c r="H2711" s="9" t="s">
        <v>1540</v>
      </c>
      <c r="I2711" s="8">
        <v>41268</v>
      </c>
      <c r="J2711" s="8">
        <v>2400</v>
      </c>
      <c r="K2711" s="2" t="s">
        <v>864</v>
      </c>
      <c r="L2711" s="43" t="s">
        <v>5837</v>
      </c>
      <c r="M2711" s="41" t="s">
        <v>4937</v>
      </c>
      <c r="N2711" s="41" t="s">
        <v>1835</v>
      </c>
      <c r="O2711" s="41" t="s">
        <v>1836</v>
      </c>
      <c r="P2711" s="41">
        <v>11</v>
      </c>
      <c r="Q2711" s="41">
        <v>7</v>
      </c>
      <c r="R2711" s="41" t="s">
        <v>868</v>
      </c>
      <c r="S2711" t="s">
        <v>3343</v>
      </c>
      <c r="T2711" t="s">
        <v>859</v>
      </c>
      <c r="V2711" t="s">
        <v>588</v>
      </c>
      <c r="X2711">
        <v>1</v>
      </c>
      <c r="Y2711" t="s">
        <v>1837</v>
      </c>
      <c r="AA2711" t="s">
        <v>1838</v>
      </c>
      <c r="AH2711" t="s">
        <v>359</v>
      </c>
    </row>
    <row r="2712" spans="1:34" ht="15.75">
      <c r="A2712" s="29">
        <f t="shared" si="46"/>
        <v>1837</v>
      </c>
      <c r="B2712" s="8">
        <v>742</v>
      </c>
      <c r="C2712" s="2">
        <v>3</v>
      </c>
      <c r="D2712" s="8">
        <v>1817</v>
      </c>
      <c r="E2712">
        <v>9466</v>
      </c>
      <c r="F2712" s="9"/>
      <c r="G2712" s="7"/>
      <c r="H2712" s="9" t="s">
        <v>1541</v>
      </c>
      <c r="I2712" s="8">
        <f>637+1200</f>
        <v>1837</v>
      </c>
      <c r="J2712" s="8">
        <v>0</v>
      </c>
      <c r="K2712" s="2" t="s">
        <v>864</v>
      </c>
      <c r="L2712" s="43" t="s">
        <v>564</v>
      </c>
      <c r="P2712" s="41">
        <v>16</v>
      </c>
      <c r="Q2712" s="41">
        <v>12</v>
      </c>
      <c r="R2712" s="41">
        <v>84</v>
      </c>
      <c r="S2712" t="s">
        <v>3329</v>
      </c>
      <c r="AH2712" t="s">
        <v>359</v>
      </c>
    </row>
    <row r="2713" spans="1:34" ht="15.75">
      <c r="A2713" s="29">
        <f t="shared" si="46"/>
        <v>31664</v>
      </c>
      <c r="B2713" s="8">
        <v>742</v>
      </c>
      <c r="C2713" s="2">
        <v>3</v>
      </c>
      <c r="D2713" s="8">
        <v>1817</v>
      </c>
      <c r="E2713">
        <v>9467</v>
      </c>
      <c r="F2713" s="9"/>
      <c r="G2713" s="7"/>
      <c r="H2713" s="9" t="s">
        <v>1541</v>
      </c>
      <c r="I2713" s="8">
        <v>18464</v>
      </c>
      <c r="J2713" s="8">
        <v>2000</v>
      </c>
      <c r="K2713" s="2" t="s">
        <v>864</v>
      </c>
      <c r="L2713" s="43" t="s">
        <v>1839</v>
      </c>
      <c r="M2713" s="41" t="s">
        <v>689</v>
      </c>
      <c r="N2713" s="41" t="s">
        <v>1840</v>
      </c>
      <c r="O2713" s="41" t="s">
        <v>1841</v>
      </c>
      <c r="P2713" s="41">
        <v>9</v>
      </c>
      <c r="Q2713" s="41">
        <v>12</v>
      </c>
      <c r="R2713" s="41">
        <v>22</v>
      </c>
      <c r="S2713" t="s">
        <v>3343</v>
      </c>
      <c r="T2713" t="s">
        <v>1842</v>
      </c>
      <c r="V2713" t="s">
        <v>1843</v>
      </c>
      <c r="X2713">
        <v>0.33</v>
      </c>
      <c r="Y2713" t="s">
        <v>1844</v>
      </c>
      <c r="AH2713" t="s">
        <v>359</v>
      </c>
    </row>
    <row r="2714" spans="1:34" ht="15.75">
      <c r="A2714" s="29">
        <f t="shared" si="46"/>
        <v>865</v>
      </c>
      <c r="B2714" s="8">
        <v>742</v>
      </c>
      <c r="C2714" s="2">
        <v>3</v>
      </c>
      <c r="D2714" s="8">
        <v>1817</v>
      </c>
      <c r="E2714">
        <v>9468</v>
      </c>
      <c r="F2714" s="9"/>
      <c r="G2714" s="7"/>
      <c r="H2714" s="9" t="s">
        <v>1541</v>
      </c>
      <c r="I2714" s="8">
        <v>865</v>
      </c>
      <c r="J2714" s="8">
        <v>0</v>
      </c>
      <c r="K2714" s="2" t="s">
        <v>864</v>
      </c>
      <c r="L2714" s="43" t="s">
        <v>2699</v>
      </c>
      <c r="P2714" s="41">
        <v>23</v>
      </c>
      <c r="Q2714" s="41">
        <v>1</v>
      </c>
      <c r="R2714" s="41">
        <v>60</v>
      </c>
      <c r="S2714" t="s">
        <v>1547</v>
      </c>
      <c r="AH2714" t="s">
        <v>359</v>
      </c>
    </row>
    <row r="2715" spans="1:34" ht="15.75">
      <c r="A2715" s="29">
        <f t="shared" si="46"/>
        <v>26904</v>
      </c>
      <c r="B2715" s="8">
        <v>742</v>
      </c>
      <c r="C2715" s="2">
        <v>3</v>
      </c>
      <c r="D2715" s="8">
        <v>1817</v>
      </c>
      <c r="E2715">
        <v>9469</v>
      </c>
      <c r="F2715" s="9"/>
      <c r="G2715" s="7"/>
      <c r="H2715" s="9" t="s">
        <v>1540</v>
      </c>
      <c r="I2715" s="8">
        <v>6904</v>
      </c>
      <c r="J2715" s="8">
        <v>1000</v>
      </c>
      <c r="K2715" s="2" t="s">
        <v>864</v>
      </c>
      <c r="L2715" s="43" t="s">
        <v>1845</v>
      </c>
      <c r="M2715" s="43" t="s">
        <v>1846</v>
      </c>
      <c r="N2715" s="43"/>
      <c r="O2715" s="43" t="s">
        <v>1847</v>
      </c>
      <c r="P2715" s="43">
        <v>1</v>
      </c>
      <c r="Q2715" s="43">
        <v>4</v>
      </c>
      <c r="R2715" s="43">
        <v>8</v>
      </c>
      <c r="S2715" t="s">
        <v>3343</v>
      </c>
      <c r="T2715" s="9"/>
      <c r="U2715" s="9"/>
      <c r="V2715" s="9" t="s">
        <v>1848</v>
      </c>
      <c r="W2715" s="9"/>
      <c r="X2715">
        <v>1</v>
      </c>
      <c r="Y2715" t="s">
        <v>1849</v>
      </c>
      <c r="AH2715" t="s">
        <v>359</v>
      </c>
    </row>
    <row r="2716" spans="1:34" ht="15.75">
      <c r="A2716" s="29">
        <f t="shared" si="46"/>
        <v>30147</v>
      </c>
      <c r="B2716" s="8">
        <v>742</v>
      </c>
      <c r="C2716" s="2">
        <v>3</v>
      </c>
      <c r="D2716" s="8">
        <v>1817</v>
      </c>
      <c r="E2716">
        <v>9470</v>
      </c>
      <c r="F2716" s="9"/>
      <c r="G2716" s="7"/>
      <c r="H2716" s="9" t="s">
        <v>1541</v>
      </c>
      <c r="I2716" s="8">
        <v>10147</v>
      </c>
      <c r="J2716" s="8">
        <v>1000</v>
      </c>
      <c r="K2716" s="2" t="s">
        <v>864</v>
      </c>
      <c r="L2716" s="43" t="s">
        <v>1845</v>
      </c>
      <c r="M2716" s="41" t="s">
        <v>1850</v>
      </c>
      <c r="O2716" s="41" t="s">
        <v>1847</v>
      </c>
      <c r="P2716" s="41">
        <v>8</v>
      </c>
      <c r="Q2716" s="41">
        <v>6</v>
      </c>
      <c r="R2716" s="41" t="s">
        <v>1851</v>
      </c>
      <c r="S2716" t="s">
        <v>3343</v>
      </c>
      <c r="T2716" t="s">
        <v>1852</v>
      </c>
      <c r="V2716" t="s">
        <v>1848</v>
      </c>
      <c r="X2716">
        <v>1</v>
      </c>
      <c r="Y2716" t="s">
        <v>1849</v>
      </c>
      <c r="AH2716" t="s">
        <v>359</v>
      </c>
    </row>
    <row r="2717" spans="1:34" ht="15.75">
      <c r="A2717" s="29">
        <f t="shared" si="46"/>
        <v>815</v>
      </c>
      <c r="B2717" s="2">
        <v>742</v>
      </c>
      <c r="C2717" s="2">
        <v>3</v>
      </c>
      <c r="D2717" s="2">
        <v>1817</v>
      </c>
      <c r="E2717">
        <v>9471</v>
      </c>
      <c r="G2717" s="1"/>
      <c r="H2717" t="s">
        <v>1541</v>
      </c>
      <c r="I2717" s="2">
        <v>815</v>
      </c>
      <c r="J2717" s="2">
        <v>0</v>
      </c>
      <c r="K2717" s="2" t="s">
        <v>864</v>
      </c>
      <c r="L2717" s="43" t="s">
        <v>5738</v>
      </c>
      <c r="P2717" s="41">
        <v>20</v>
      </c>
      <c r="Q2717" s="41">
        <v>2</v>
      </c>
      <c r="R2717" s="41">
        <v>61</v>
      </c>
      <c r="S2717" t="s">
        <v>3321</v>
      </c>
      <c r="AH2717" t="s">
        <v>359</v>
      </c>
    </row>
    <row r="2718" spans="1:34" ht="15.75">
      <c r="A2718" s="29">
        <f t="shared" si="46"/>
        <v>35</v>
      </c>
      <c r="B2718" s="2">
        <v>742</v>
      </c>
      <c r="C2718" s="2">
        <v>3</v>
      </c>
      <c r="D2718" s="2">
        <v>1817</v>
      </c>
      <c r="E2718">
        <v>9472</v>
      </c>
      <c r="G2718" s="1"/>
      <c r="H2718" t="s">
        <v>1541</v>
      </c>
      <c r="I2718" s="2">
        <v>35</v>
      </c>
      <c r="J2718" s="2">
        <v>0</v>
      </c>
      <c r="K2718" s="2" t="s">
        <v>864</v>
      </c>
      <c r="L2718" s="43" t="s">
        <v>5738</v>
      </c>
      <c r="P2718" s="41">
        <v>30</v>
      </c>
      <c r="Q2718" s="41">
        <v>7</v>
      </c>
      <c r="R2718" s="41" t="s">
        <v>868</v>
      </c>
      <c r="S2718" t="s">
        <v>3329</v>
      </c>
      <c r="AH2718" t="s">
        <v>359</v>
      </c>
    </row>
    <row r="2719" spans="1:34" ht="15.75">
      <c r="A2719" s="29">
        <f t="shared" si="46"/>
        <v>1256</v>
      </c>
      <c r="B2719" s="2">
        <v>742</v>
      </c>
      <c r="C2719" s="2">
        <v>3</v>
      </c>
      <c r="D2719" s="2">
        <v>1817</v>
      </c>
      <c r="E2719">
        <v>9473</v>
      </c>
      <c r="G2719" s="1"/>
      <c r="H2719" t="s">
        <v>1541</v>
      </c>
      <c r="I2719" s="2">
        <f>472+784</f>
        <v>1256</v>
      </c>
      <c r="J2719" s="2">
        <v>0</v>
      </c>
      <c r="K2719" s="2" t="s">
        <v>864</v>
      </c>
      <c r="L2719" s="43" t="s">
        <v>5738</v>
      </c>
      <c r="P2719" s="41">
        <v>3</v>
      </c>
      <c r="Q2719" s="41">
        <v>11</v>
      </c>
      <c r="R2719" s="41">
        <v>24</v>
      </c>
      <c r="S2719" t="s">
        <v>3321</v>
      </c>
      <c r="AH2719" t="s">
        <v>359</v>
      </c>
    </row>
    <row r="2720" spans="1:34" ht="15.75">
      <c r="A2720" s="29">
        <f t="shared" si="46"/>
        <v>2500</v>
      </c>
      <c r="B2720" s="2">
        <v>743</v>
      </c>
      <c r="C2720" s="2">
        <v>3</v>
      </c>
      <c r="D2720" s="2">
        <v>1817</v>
      </c>
      <c r="E2720">
        <v>9474</v>
      </c>
      <c r="G2720" s="1"/>
      <c r="H2720" t="s">
        <v>1541</v>
      </c>
      <c r="I2720" s="2">
        <v>2500</v>
      </c>
      <c r="J2720" s="2">
        <v>0</v>
      </c>
      <c r="K2720" s="2" t="s">
        <v>864</v>
      </c>
      <c r="L2720" s="43" t="s">
        <v>2690</v>
      </c>
      <c r="P2720" s="41">
        <v>10</v>
      </c>
      <c r="Q2720" s="41">
        <v>6</v>
      </c>
      <c r="R2720" s="41">
        <v>22</v>
      </c>
      <c r="S2720" t="s">
        <v>3321</v>
      </c>
      <c r="AH2720" t="s">
        <v>359</v>
      </c>
    </row>
    <row r="2721" spans="1:34" ht="15.75">
      <c r="A2721" s="29">
        <f t="shared" si="46"/>
        <v>123006</v>
      </c>
      <c r="B2721" s="8">
        <v>743</v>
      </c>
      <c r="C2721" s="2">
        <v>3</v>
      </c>
      <c r="D2721" s="8">
        <v>1817</v>
      </c>
      <c r="E2721">
        <v>9475</v>
      </c>
      <c r="F2721" s="9"/>
      <c r="G2721" s="7"/>
      <c r="H2721" s="9" t="s">
        <v>1541</v>
      </c>
      <c r="I2721" s="8">
        <v>123006</v>
      </c>
      <c r="J2721" s="8">
        <v>0</v>
      </c>
      <c r="K2721" s="2" t="s">
        <v>864</v>
      </c>
      <c r="L2721" s="43" t="s">
        <v>860</v>
      </c>
      <c r="M2721" s="41" t="s">
        <v>1853</v>
      </c>
      <c r="O2721" s="41" t="s">
        <v>1854</v>
      </c>
      <c r="P2721" s="41">
        <v>6</v>
      </c>
      <c r="Q2721" s="41">
        <v>4</v>
      </c>
      <c r="R2721" s="41">
        <v>26</v>
      </c>
      <c r="S2721" t="s">
        <v>1855</v>
      </c>
      <c r="T2721" t="s">
        <v>3442</v>
      </c>
      <c r="V2721" t="s">
        <v>861</v>
      </c>
      <c r="AH2721" t="s">
        <v>359</v>
      </c>
    </row>
    <row r="2722" spans="1:34" ht="15.75">
      <c r="A2722" s="29">
        <f t="shared" si="46"/>
        <v>16567</v>
      </c>
      <c r="B2722" s="8">
        <v>743</v>
      </c>
      <c r="C2722" s="2">
        <v>3</v>
      </c>
      <c r="D2722" s="8">
        <v>1817</v>
      </c>
      <c r="E2722">
        <v>9476</v>
      </c>
      <c r="F2722" s="9"/>
      <c r="G2722" s="7"/>
      <c r="H2722" s="9" t="s">
        <v>1541</v>
      </c>
      <c r="I2722" s="8">
        <v>16567</v>
      </c>
      <c r="J2722" s="8">
        <v>0</v>
      </c>
      <c r="K2722" s="2" t="s">
        <v>864</v>
      </c>
      <c r="L2722" s="43" t="s">
        <v>5740</v>
      </c>
      <c r="M2722" s="41" t="s">
        <v>999</v>
      </c>
      <c r="P2722" s="41">
        <v>9</v>
      </c>
      <c r="Q2722" s="41">
        <v>11</v>
      </c>
      <c r="R2722" s="41">
        <v>70</v>
      </c>
      <c r="S2722" t="s">
        <v>3343</v>
      </c>
      <c r="AH2722" t="s">
        <v>359</v>
      </c>
    </row>
    <row r="2723" spans="1:34" ht="15.75">
      <c r="A2723" s="29">
        <f t="shared" si="46"/>
        <v>55</v>
      </c>
      <c r="B2723" s="2">
        <v>743</v>
      </c>
      <c r="C2723" s="2">
        <v>3</v>
      </c>
      <c r="D2723" s="2">
        <v>1817</v>
      </c>
      <c r="E2723">
        <v>9477</v>
      </c>
      <c r="G2723" s="1"/>
      <c r="H2723" t="s">
        <v>1540</v>
      </c>
      <c r="I2723" s="2">
        <v>55</v>
      </c>
      <c r="J2723" s="2">
        <v>0</v>
      </c>
      <c r="K2723" s="2" t="s">
        <v>864</v>
      </c>
      <c r="L2723" s="43" t="s">
        <v>2446</v>
      </c>
      <c r="P2723" s="41">
        <v>3</v>
      </c>
      <c r="Q2723" s="41">
        <v>6</v>
      </c>
      <c r="R2723" s="41">
        <v>70</v>
      </c>
      <c r="S2723" t="s">
        <v>3321</v>
      </c>
      <c r="AH2723" t="s">
        <v>359</v>
      </c>
    </row>
    <row r="2724" spans="1:34" ht="15.75">
      <c r="A2724" s="29">
        <f t="shared" si="46"/>
        <v>272</v>
      </c>
      <c r="B2724" s="2">
        <v>743</v>
      </c>
      <c r="C2724" s="2">
        <v>3</v>
      </c>
      <c r="D2724" s="2">
        <v>1817</v>
      </c>
      <c r="E2724">
        <v>9478</v>
      </c>
      <c r="G2724" s="1"/>
      <c r="H2724" t="s">
        <v>1540</v>
      </c>
      <c r="I2724" s="2">
        <v>272</v>
      </c>
      <c r="J2724" s="2">
        <v>0</v>
      </c>
      <c r="K2724" s="2" t="s">
        <v>864</v>
      </c>
      <c r="L2724" s="43" t="s">
        <v>5741</v>
      </c>
      <c r="P2724" s="41">
        <v>3</v>
      </c>
      <c r="Q2724" s="41">
        <v>3</v>
      </c>
      <c r="R2724" s="41">
        <v>76</v>
      </c>
      <c r="S2724" t="s">
        <v>3321</v>
      </c>
      <c r="AH2724" t="s">
        <v>359</v>
      </c>
    </row>
    <row r="2725" spans="1:34" ht="15.75">
      <c r="A2725" s="29">
        <f t="shared" si="46"/>
        <v>2529</v>
      </c>
      <c r="B2725" s="2">
        <v>743</v>
      </c>
      <c r="C2725" s="2">
        <v>3</v>
      </c>
      <c r="D2725" s="2">
        <v>1817</v>
      </c>
      <c r="E2725">
        <v>9479</v>
      </c>
      <c r="G2725" s="1"/>
      <c r="H2725" t="s">
        <v>1540</v>
      </c>
      <c r="I2725" s="2">
        <v>2529</v>
      </c>
      <c r="J2725" s="2">
        <v>0</v>
      </c>
      <c r="K2725" s="2" t="s">
        <v>864</v>
      </c>
      <c r="L2725" s="43" t="s">
        <v>5741</v>
      </c>
      <c r="P2725" s="41">
        <v>13</v>
      </c>
      <c r="Q2725" s="41">
        <v>9</v>
      </c>
      <c r="R2725" s="41">
        <v>4</v>
      </c>
      <c r="S2725" t="s">
        <v>3343</v>
      </c>
      <c r="AH2725" t="s">
        <v>359</v>
      </c>
    </row>
    <row r="2726" spans="1:34" ht="15.75">
      <c r="A2726" s="29">
        <f t="shared" si="46"/>
        <v>5175</v>
      </c>
      <c r="B2726" s="2">
        <v>743</v>
      </c>
      <c r="C2726" s="2">
        <v>3</v>
      </c>
      <c r="D2726" s="2">
        <v>1817</v>
      </c>
      <c r="E2726">
        <v>9480</v>
      </c>
      <c r="G2726" s="1"/>
      <c r="H2726" t="s">
        <v>1540</v>
      </c>
      <c r="I2726" s="2">
        <v>5175</v>
      </c>
      <c r="J2726" s="2">
        <v>0</v>
      </c>
      <c r="K2726" s="2" t="s">
        <v>864</v>
      </c>
      <c r="L2726" s="43" t="s">
        <v>2700</v>
      </c>
      <c r="P2726" s="41">
        <v>11</v>
      </c>
      <c r="Q2726" s="41">
        <v>2</v>
      </c>
      <c r="R2726" s="41" t="s">
        <v>868</v>
      </c>
      <c r="S2726" t="s">
        <v>1547</v>
      </c>
      <c r="AH2726" t="s">
        <v>359</v>
      </c>
    </row>
    <row r="2727" spans="1:34" ht="15.75">
      <c r="A2727" s="29">
        <f t="shared" si="46"/>
        <v>16667</v>
      </c>
      <c r="B2727" s="8">
        <v>744</v>
      </c>
      <c r="C2727" s="2">
        <v>3</v>
      </c>
      <c r="D2727" s="8">
        <v>1817</v>
      </c>
      <c r="E2727">
        <v>9481</v>
      </c>
      <c r="F2727" s="9"/>
      <c r="G2727" s="7"/>
      <c r="H2727" s="9" t="s">
        <v>1541</v>
      </c>
      <c r="I2727" s="8">
        <v>667</v>
      </c>
      <c r="J2727" s="8">
        <v>800</v>
      </c>
      <c r="K2727" s="8" t="s">
        <v>850</v>
      </c>
      <c r="L2727" s="43" t="s">
        <v>1856</v>
      </c>
      <c r="M2727" s="41" t="s">
        <v>1857</v>
      </c>
      <c r="N2727" s="41" t="s">
        <v>1858</v>
      </c>
      <c r="O2727" s="41" t="s">
        <v>1859</v>
      </c>
      <c r="P2727" s="41">
        <v>8</v>
      </c>
      <c r="Q2727" s="41">
        <v>8</v>
      </c>
      <c r="R2727" s="41">
        <v>53</v>
      </c>
      <c r="S2727" t="s">
        <v>1860</v>
      </c>
      <c r="T2727" t="s">
        <v>4646</v>
      </c>
      <c r="V2727" t="s">
        <v>1861</v>
      </c>
      <c r="X2727">
        <v>1</v>
      </c>
      <c r="Y2727" t="s">
        <v>1859</v>
      </c>
      <c r="AH2727" t="s">
        <v>359</v>
      </c>
    </row>
    <row r="2728" spans="1:34" ht="15.75">
      <c r="A2728" s="29">
        <f t="shared" si="46"/>
        <v>55761</v>
      </c>
      <c r="B2728" s="8">
        <v>744</v>
      </c>
      <c r="C2728" s="2">
        <v>3</v>
      </c>
      <c r="D2728" s="8">
        <v>1817</v>
      </c>
      <c r="E2728">
        <v>9482</v>
      </c>
      <c r="F2728" s="9"/>
      <c r="G2728" s="7"/>
      <c r="H2728" s="9" t="s">
        <v>1540</v>
      </c>
      <c r="I2728" s="8">
        <f>7761+4000+12000</f>
        <v>23761</v>
      </c>
      <c r="J2728" s="8">
        <v>3200</v>
      </c>
      <c r="K2728" s="8" t="s">
        <v>850</v>
      </c>
      <c r="L2728" s="43" t="s">
        <v>1862</v>
      </c>
      <c r="M2728" s="41" t="s">
        <v>3371</v>
      </c>
      <c r="N2728" s="41" t="s">
        <v>4108</v>
      </c>
      <c r="O2728" s="41" t="s">
        <v>1863</v>
      </c>
      <c r="P2728" s="41">
        <v>30</v>
      </c>
      <c r="Q2728" s="41">
        <v>5</v>
      </c>
      <c r="R2728" s="41">
        <v>68</v>
      </c>
      <c r="S2728" t="s">
        <v>1864</v>
      </c>
      <c r="T2728" t="s">
        <v>1865</v>
      </c>
      <c r="V2728" t="s">
        <v>5525</v>
      </c>
      <c r="X2728">
        <v>0.5</v>
      </c>
      <c r="Y2728" t="s">
        <v>1866</v>
      </c>
      <c r="AH2728" t="s">
        <v>359</v>
      </c>
    </row>
    <row r="2729" spans="1:34" ht="15.75">
      <c r="A2729" s="29">
        <f t="shared" si="46"/>
        <v>169</v>
      </c>
      <c r="B2729" s="8">
        <v>744</v>
      </c>
      <c r="C2729" s="2">
        <v>3</v>
      </c>
      <c r="D2729" s="8">
        <v>1817</v>
      </c>
      <c r="E2729">
        <v>9483</v>
      </c>
      <c r="F2729" s="9"/>
      <c r="G2729" s="7"/>
      <c r="H2729" s="9" t="s">
        <v>1540</v>
      </c>
      <c r="I2729" s="8">
        <v>169</v>
      </c>
      <c r="J2729" s="8">
        <v>0</v>
      </c>
      <c r="K2729" s="8" t="s">
        <v>850</v>
      </c>
      <c r="L2729" s="43" t="s">
        <v>604</v>
      </c>
      <c r="P2729" s="41">
        <v>13</v>
      </c>
      <c r="Q2729" s="41">
        <v>9</v>
      </c>
      <c r="R2729" s="41">
        <v>84</v>
      </c>
      <c r="S2729" t="s">
        <v>3324</v>
      </c>
      <c r="AH2729" t="s">
        <v>359</v>
      </c>
    </row>
    <row r="2730" spans="1:34" ht="15.75">
      <c r="A2730" s="29">
        <f t="shared" si="46"/>
        <v>175</v>
      </c>
      <c r="B2730" s="8">
        <v>744</v>
      </c>
      <c r="C2730" s="2">
        <v>3</v>
      </c>
      <c r="D2730" s="8">
        <v>1817</v>
      </c>
      <c r="E2730">
        <v>9485</v>
      </c>
      <c r="F2730" s="9"/>
      <c r="G2730" s="7"/>
      <c r="H2730" s="9" t="s">
        <v>1541</v>
      </c>
      <c r="I2730" s="8">
        <v>175</v>
      </c>
      <c r="J2730" s="8">
        <v>0</v>
      </c>
      <c r="K2730" s="8" t="s">
        <v>850</v>
      </c>
      <c r="L2730" s="43" t="s">
        <v>5748</v>
      </c>
      <c r="P2730" s="41">
        <v>13</v>
      </c>
      <c r="Q2730" s="41">
        <v>6</v>
      </c>
      <c r="R2730" s="41">
        <v>42</v>
      </c>
      <c r="S2730" t="s">
        <v>3321</v>
      </c>
      <c r="AH2730" t="s">
        <v>359</v>
      </c>
    </row>
    <row r="2731" spans="1:34" ht="15.75">
      <c r="A2731" s="29">
        <f t="shared" si="46"/>
        <v>126</v>
      </c>
      <c r="B2731" s="8">
        <v>744</v>
      </c>
      <c r="C2731" s="2">
        <v>3</v>
      </c>
      <c r="D2731" s="8">
        <v>1817</v>
      </c>
      <c r="E2731">
        <v>9486</v>
      </c>
      <c r="F2731" s="9"/>
      <c r="G2731" s="7"/>
      <c r="H2731" s="9" t="s">
        <v>1540</v>
      </c>
      <c r="I2731" s="8">
        <v>126</v>
      </c>
      <c r="J2731" s="8">
        <v>0</v>
      </c>
      <c r="K2731" s="8" t="s">
        <v>850</v>
      </c>
      <c r="L2731" s="43" t="s">
        <v>5748</v>
      </c>
      <c r="P2731" s="41">
        <v>10</v>
      </c>
      <c r="Q2731" s="41">
        <v>11</v>
      </c>
      <c r="R2731" s="41">
        <v>45</v>
      </c>
      <c r="S2731" t="s">
        <v>3321</v>
      </c>
      <c r="AH2731" t="s">
        <v>359</v>
      </c>
    </row>
    <row r="2732" spans="1:34" ht="15.75">
      <c r="A2732" s="29">
        <f t="shared" si="46"/>
        <v>852</v>
      </c>
      <c r="B2732" s="2">
        <v>744</v>
      </c>
      <c r="C2732" s="2">
        <v>3</v>
      </c>
      <c r="D2732" s="2">
        <v>1817</v>
      </c>
      <c r="E2732">
        <v>9489</v>
      </c>
      <c r="G2732" s="1"/>
      <c r="H2732" t="s">
        <v>1540</v>
      </c>
      <c r="I2732" s="2">
        <v>852</v>
      </c>
      <c r="J2732" s="2">
        <v>0</v>
      </c>
      <c r="K2732" s="8" t="s">
        <v>850</v>
      </c>
      <c r="L2732" s="43" t="s">
        <v>5751</v>
      </c>
      <c r="P2732" s="41">
        <v>9</v>
      </c>
      <c r="Q2732" s="41">
        <v>6</v>
      </c>
      <c r="R2732" s="41">
        <v>61</v>
      </c>
      <c r="S2732" t="s">
        <v>3352</v>
      </c>
      <c r="AH2732" t="s">
        <v>359</v>
      </c>
    </row>
    <row r="2733" spans="1:34" ht="15.75">
      <c r="A2733" s="29">
        <f t="shared" si="46"/>
        <v>1987</v>
      </c>
      <c r="B2733" s="2">
        <v>744</v>
      </c>
      <c r="C2733" s="2">
        <v>3</v>
      </c>
      <c r="D2733" s="2">
        <v>1817</v>
      </c>
      <c r="E2733">
        <v>9490</v>
      </c>
      <c r="G2733" s="1"/>
      <c r="H2733" t="s">
        <v>1540</v>
      </c>
      <c r="I2733" s="2">
        <v>1987</v>
      </c>
      <c r="J2733" s="2">
        <v>0</v>
      </c>
      <c r="K2733" s="8" t="s">
        <v>850</v>
      </c>
      <c r="L2733" s="43" t="s">
        <v>5751</v>
      </c>
      <c r="P2733" s="41">
        <v>2</v>
      </c>
      <c r="Q2733" s="41">
        <v>9</v>
      </c>
      <c r="R2733" s="41">
        <v>62</v>
      </c>
      <c r="S2733" t="s">
        <v>3321</v>
      </c>
      <c r="AH2733" t="s">
        <v>359</v>
      </c>
    </row>
    <row r="2734" spans="1:34" ht="15.75">
      <c r="A2734" s="29">
        <f t="shared" si="46"/>
        <v>129</v>
      </c>
      <c r="B2734" s="2">
        <v>744</v>
      </c>
      <c r="C2734" s="2">
        <v>3</v>
      </c>
      <c r="D2734" s="2">
        <v>1817</v>
      </c>
      <c r="E2734">
        <v>9491</v>
      </c>
      <c r="G2734" s="1"/>
      <c r="H2734" t="s">
        <v>1540</v>
      </c>
      <c r="I2734" s="2">
        <v>129</v>
      </c>
      <c r="J2734" s="2">
        <v>0</v>
      </c>
      <c r="K2734" s="8" t="s">
        <v>850</v>
      </c>
      <c r="L2734" s="43" t="s">
        <v>5950</v>
      </c>
      <c r="P2734" s="41">
        <v>29</v>
      </c>
      <c r="Q2734" s="41">
        <v>3</v>
      </c>
      <c r="R2734" s="41">
        <v>64</v>
      </c>
      <c r="S2734" t="s">
        <v>3321</v>
      </c>
      <c r="AH2734" t="s">
        <v>359</v>
      </c>
    </row>
    <row r="2735" spans="1:34" ht="15.75">
      <c r="A2735" s="29">
        <f t="shared" si="46"/>
        <v>4901</v>
      </c>
      <c r="B2735" s="2">
        <v>744</v>
      </c>
      <c r="C2735" s="2">
        <v>3</v>
      </c>
      <c r="D2735" s="2">
        <v>1817</v>
      </c>
      <c r="E2735">
        <v>9492</v>
      </c>
      <c r="G2735" s="1"/>
      <c r="H2735" t="s">
        <v>1540</v>
      </c>
      <c r="I2735" s="2">
        <v>4901</v>
      </c>
      <c r="J2735" s="2">
        <v>0</v>
      </c>
      <c r="K2735" s="8" t="s">
        <v>850</v>
      </c>
      <c r="L2735" s="43" t="s">
        <v>5950</v>
      </c>
      <c r="P2735" s="41">
        <v>6</v>
      </c>
      <c r="Q2735" s="41">
        <v>8</v>
      </c>
      <c r="R2735" s="41">
        <v>43</v>
      </c>
      <c r="S2735" t="s">
        <v>3321</v>
      </c>
      <c r="AH2735" t="s">
        <v>359</v>
      </c>
    </row>
    <row r="2736" spans="1:34" ht="15.75">
      <c r="A2736" s="29">
        <f t="shared" si="46"/>
        <v>378</v>
      </c>
      <c r="B2736" s="2">
        <v>745</v>
      </c>
      <c r="C2736" s="2">
        <v>3</v>
      </c>
      <c r="D2736" s="2">
        <v>1817</v>
      </c>
      <c r="E2736">
        <v>9494</v>
      </c>
      <c r="G2736" s="1"/>
      <c r="H2736" t="s">
        <v>1540</v>
      </c>
      <c r="I2736" s="2">
        <v>378</v>
      </c>
      <c r="J2736" s="2">
        <v>0</v>
      </c>
      <c r="K2736" s="8" t="s">
        <v>850</v>
      </c>
      <c r="L2736" s="43" t="s">
        <v>5955</v>
      </c>
      <c r="P2736" s="41">
        <v>24</v>
      </c>
      <c r="Q2736" s="41">
        <v>11</v>
      </c>
      <c r="R2736" s="41">
        <v>41</v>
      </c>
      <c r="S2736" t="s">
        <v>3321</v>
      </c>
      <c r="AH2736" t="s">
        <v>359</v>
      </c>
    </row>
    <row r="2737" spans="1:34" ht="15.75">
      <c r="A2737" s="29">
        <f t="shared" si="46"/>
        <v>31</v>
      </c>
      <c r="B2737" s="2">
        <v>745</v>
      </c>
      <c r="C2737" s="2">
        <v>3</v>
      </c>
      <c r="D2737" s="2">
        <v>1817</v>
      </c>
      <c r="E2737">
        <v>9495</v>
      </c>
      <c r="G2737" s="1"/>
      <c r="H2737" t="s">
        <v>1541</v>
      </c>
      <c r="I2737" s="2">
        <v>31</v>
      </c>
      <c r="J2737" s="2">
        <v>0</v>
      </c>
      <c r="K2737" s="8" t="s">
        <v>850</v>
      </c>
      <c r="L2737" s="43" t="s">
        <v>5955</v>
      </c>
      <c r="P2737" s="41">
        <v>16</v>
      </c>
      <c r="Q2737" s="41">
        <v>10</v>
      </c>
      <c r="R2737" s="41">
        <v>83</v>
      </c>
      <c r="S2737" t="s">
        <v>3329</v>
      </c>
      <c r="AH2737" t="s">
        <v>359</v>
      </c>
    </row>
    <row r="2738" spans="1:34" ht="15.75">
      <c r="A2738" s="29">
        <f t="shared" si="46"/>
        <v>14353</v>
      </c>
      <c r="B2738" s="2">
        <v>746</v>
      </c>
      <c r="C2738" s="2">
        <v>3</v>
      </c>
      <c r="D2738" s="2">
        <v>1817</v>
      </c>
      <c r="E2738">
        <v>9496</v>
      </c>
      <c r="G2738" s="1"/>
      <c r="H2738" t="s">
        <v>1540</v>
      </c>
      <c r="I2738" s="2">
        <v>14353</v>
      </c>
      <c r="J2738" s="2">
        <v>0</v>
      </c>
      <c r="K2738" s="2" t="s">
        <v>865</v>
      </c>
      <c r="L2738" s="43" t="s">
        <v>1879</v>
      </c>
      <c r="P2738" s="41">
        <v>19</v>
      </c>
      <c r="Q2738" s="41">
        <v>5</v>
      </c>
      <c r="R2738" s="41">
        <v>32</v>
      </c>
      <c r="S2738" t="s">
        <v>3321</v>
      </c>
      <c r="AH2738" t="s">
        <v>359</v>
      </c>
    </row>
    <row r="2739" spans="1:34" ht="15.75">
      <c r="A2739" s="29">
        <f t="shared" si="46"/>
        <v>24000</v>
      </c>
      <c r="B2739" s="8">
        <v>746</v>
      </c>
      <c r="C2739" s="2">
        <v>3</v>
      </c>
      <c r="D2739" s="8">
        <v>1817</v>
      </c>
      <c r="E2739">
        <v>9497</v>
      </c>
      <c r="F2739" s="9"/>
      <c r="G2739" s="7"/>
      <c r="H2739" s="9" t="s">
        <v>1540</v>
      </c>
      <c r="I2739" s="8">
        <v>0</v>
      </c>
      <c r="J2739" s="8">
        <v>1200</v>
      </c>
      <c r="K2739" s="2" t="s">
        <v>865</v>
      </c>
      <c r="L2739" s="43" t="s">
        <v>5840</v>
      </c>
      <c r="M2739" s="43" t="s">
        <v>1880</v>
      </c>
      <c r="N2739" s="43"/>
      <c r="O2739" s="43" t="s">
        <v>1881</v>
      </c>
      <c r="P2739" s="43">
        <v>1</v>
      </c>
      <c r="Q2739" s="43">
        <v>7</v>
      </c>
      <c r="R2739" s="43" t="s">
        <v>868</v>
      </c>
      <c r="S2739" t="s">
        <v>3343</v>
      </c>
      <c r="T2739" t="s">
        <v>1882</v>
      </c>
      <c r="V2739" t="s">
        <v>1883</v>
      </c>
      <c r="X2739">
        <v>1</v>
      </c>
      <c r="Y2739" t="s">
        <v>1884</v>
      </c>
      <c r="AH2739" t="s">
        <v>359</v>
      </c>
    </row>
    <row r="2740" spans="1:34" ht="15.75">
      <c r="A2740" s="29">
        <f t="shared" si="46"/>
        <v>86</v>
      </c>
      <c r="B2740" s="8">
        <v>746</v>
      </c>
      <c r="C2740" s="2">
        <v>3</v>
      </c>
      <c r="D2740" s="8">
        <v>1817</v>
      </c>
      <c r="E2740">
        <v>9498</v>
      </c>
      <c r="F2740" s="9"/>
      <c r="G2740" s="7"/>
      <c r="H2740" s="9" t="s">
        <v>1541</v>
      </c>
      <c r="I2740" s="8">
        <v>86</v>
      </c>
      <c r="J2740" s="8">
        <v>0</v>
      </c>
      <c r="K2740" s="2" t="s">
        <v>865</v>
      </c>
      <c r="L2740" s="43" t="s">
        <v>3687</v>
      </c>
      <c r="P2740" s="41">
        <v>26</v>
      </c>
      <c r="Q2740" s="41">
        <v>10</v>
      </c>
      <c r="R2740" s="41" t="s">
        <v>868</v>
      </c>
      <c r="S2740" t="s">
        <v>3329</v>
      </c>
      <c r="AH2740" t="s">
        <v>359</v>
      </c>
    </row>
    <row r="2741" spans="1:34" ht="15.75">
      <c r="A2741" s="29">
        <f t="shared" si="46"/>
        <v>0</v>
      </c>
      <c r="B2741" s="8">
        <v>746</v>
      </c>
      <c r="C2741" s="2">
        <v>3</v>
      </c>
      <c r="D2741" s="8">
        <v>1817</v>
      </c>
      <c r="E2741">
        <v>9499</v>
      </c>
      <c r="F2741" s="9"/>
      <c r="G2741" s="7"/>
      <c r="H2741" s="9" t="s">
        <v>1541</v>
      </c>
      <c r="I2741" s="8">
        <v>0</v>
      </c>
      <c r="J2741" s="8">
        <v>0</v>
      </c>
      <c r="K2741" s="2" t="s">
        <v>865</v>
      </c>
      <c r="L2741" s="43" t="s">
        <v>1885</v>
      </c>
      <c r="M2741" s="41" t="s">
        <v>1886</v>
      </c>
      <c r="O2741" s="41" t="s">
        <v>1887</v>
      </c>
      <c r="P2741" s="41">
        <v>17</v>
      </c>
      <c r="Q2741" s="41">
        <v>2</v>
      </c>
      <c r="R2741" s="41">
        <v>20</v>
      </c>
      <c r="S2741" t="s">
        <v>1888</v>
      </c>
      <c r="V2741" t="s">
        <v>1889</v>
      </c>
      <c r="AH2741" t="s">
        <v>359</v>
      </c>
    </row>
    <row r="2742" spans="1:34" ht="15.75">
      <c r="A2742" s="29">
        <f t="shared" si="46"/>
        <v>0</v>
      </c>
      <c r="B2742" s="8">
        <v>746</v>
      </c>
      <c r="C2742" s="2">
        <v>3</v>
      </c>
      <c r="D2742" s="8">
        <v>1817</v>
      </c>
      <c r="E2742">
        <v>9500</v>
      </c>
      <c r="F2742" s="9"/>
      <c r="G2742" s="7"/>
      <c r="H2742" s="9" t="s">
        <v>1540</v>
      </c>
      <c r="I2742" s="8">
        <v>0</v>
      </c>
      <c r="J2742" s="8">
        <v>0</v>
      </c>
      <c r="K2742" s="2" t="s">
        <v>865</v>
      </c>
      <c r="L2742" s="43" t="s">
        <v>5089</v>
      </c>
      <c r="M2742" s="41" t="s">
        <v>1890</v>
      </c>
      <c r="N2742" s="41" t="s">
        <v>1891</v>
      </c>
      <c r="O2742" s="41" t="s">
        <v>1892</v>
      </c>
      <c r="P2742" s="41">
        <v>10</v>
      </c>
      <c r="Q2742" s="41">
        <v>9</v>
      </c>
      <c r="R2742" s="41">
        <v>40</v>
      </c>
      <c r="T2742" t="s">
        <v>1882</v>
      </c>
      <c r="V2742" t="s">
        <v>1893</v>
      </c>
      <c r="AH2742" t="s">
        <v>359</v>
      </c>
    </row>
    <row r="2743" spans="1:34" ht="15.75">
      <c r="A2743" s="29">
        <f t="shared" si="46"/>
        <v>405</v>
      </c>
      <c r="B2743" s="8">
        <v>746</v>
      </c>
      <c r="C2743" s="2">
        <v>3</v>
      </c>
      <c r="D2743" s="8">
        <v>1817</v>
      </c>
      <c r="E2743">
        <v>9501</v>
      </c>
      <c r="F2743" s="9"/>
      <c r="G2743" s="7"/>
      <c r="H2743" s="9" t="s">
        <v>1540</v>
      </c>
      <c r="I2743" s="8">
        <v>405</v>
      </c>
      <c r="J2743" s="8">
        <v>0</v>
      </c>
      <c r="K2743" s="2" t="s">
        <v>865</v>
      </c>
      <c r="L2743" s="43" t="s">
        <v>5758</v>
      </c>
      <c r="P2743" s="41">
        <v>28</v>
      </c>
      <c r="Q2743" s="41">
        <v>4</v>
      </c>
      <c r="R2743" s="41">
        <v>77</v>
      </c>
      <c r="S2743" t="s">
        <v>3324</v>
      </c>
      <c r="AH2743" t="s">
        <v>359</v>
      </c>
    </row>
    <row r="2744" spans="1:34" ht="15.75">
      <c r="A2744" s="29">
        <f t="shared" si="46"/>
        <v>8808</v>
      </c>
      <c r="B2744" s="8">
        <v>746</v>
      </c>
      <c r="C2744" s="2">
        <v>3</v>
      </c>
      <c r="D2744" s="8">
        <v>1817</v>
      </c>
      <c r="E2744">
        <v>9503</v>
      </c>
      <c r="F2744" s="9"/>
      <c r="G2744" s="7"/>
      <c r="H2744" s="9" t="s">
        <v>1540</v>
      </c>
      <c r="I2744" s="8">
        <v>8808</v>
      </c>
      <c r="J2744" s="8">
        <v>0</v>
      </c>
      <c r="K2744" s="2" t="s">
        <v>865</v>
      </c>
      <c r="L2744" s="43" t="s">
        <v>1898</v>
      </c>
      <c r="P2744" s="41">
        <v>14</v>
      </c>
      <c r="Q2744" s="41">
        <v>9</v>
      </c>
      <c r="R2744" s="41">
        <v>57</v>
      </c>
      <c r="S2744" t="s">
        <v>3324</v>
      </c>
      <c r="AH2744" t="s">
        <v>359</v>
      </c>
    </row>
    <row r="2745" spans="1:34" ht="15.75">
      <c r="A2745" s="29">
        <f t="shared" si="46"/>
        <v>18</v>
      </c>
      <c r="B2745" s="8">
        <v>746</v>
      </c>
      <c r="C2745" s="2">
        <v>3</v>
      </c>
      <c r="D2745" s="8">
        <v>1817</v>
      </c>
      <c r="E2745">
        <v>9504</v>
      </c>
      <c r="F2745" s="9"/>
      <c r="G2745" s="7"/>
      <c r="H2745" s="9" t="s">
        <v>1541</v>
      </c>
      <c r="I2745" s="8">
        <v>18</v>
      </c>
      <c r="J2745" s="8">
        <v>0</v>
      </c>
      <c r="K2745" s="2" t="s">
        <v>865</v>
      </c>
      <c r="L2745" s="43" t="s">
        <v>3686</v>
      </c>
      <c r="P2745" s="41">
        <v>20</v>
      </c>
      <c r="Q2745" s="41">
        <v>4</v>
      </c>
      <c r="R2745" s="41">
        <v>79</v>
      </c>
      <c r="S2745" t="s">
        <v>3329</v>
      </c>
      <c r="AH2745" t="s">
        <v>359</v>
      </c>
    </row>
    <row r="2746" spans="1:34" ht="15.75">
      <c r="A2746" s="29">
        <f t="shared" si="46"/>
        <v>125920</v>
      </c>
      <c r="B2746" s="8">
        <v>746</v>
      </c>
      <c r="C2746" s="2">
        <v>3</v>
      </c>
      <c r="D2746" s="8">
        <v>1817</v>
      </c>
      <c r="E2746">
        <v>9505</v>
      </c>
      <c r="F2746" s="9"/>
      <c r="G2746" s="7"/>
      <c r="H2746" s="9" t="s">
        <v>1541</v>
      </c>
      <c r="I2746" s="8">
        <f>6320+1600</f>
        <v>7920</v>
      </c>
      <c r="J2746" s="8">
        <f>3200+2700</f>
        <v>5900</v>
      </c>
      <c r="K2746" s="2" t="s">
        <v>865</v>
      </c>
      <c r="L2746" s="43" t="s">
        <v>1899</v>
      </c>
      <c r="M2746" s="41" t="s">
        <v>1900</v>
      </c>
      <c r="N2746" s="41" t="s">
        <v>1555</v>
      </c>
      <c r="O2746" s="41" t="s">
        <v>1901</v>
      </c>
      <c r="P2746" s="41">
        <v>24</v>
      </c>
      <c r="Q2746" s="41">
        <v>3</v>
      </c>
      <c r="R2746" s="41">
        <v>65</v>
      </c>
      <c r="S2746" t="s">
        <v>3343</v>
      </c>
      <c r="T2746" t="s">
        <v>1325</v>
      </c>
      <c r="V2746" t="s">
        <v>2247</v>
      </c>
      <c r="X2746">
        <v>1</v>
      </c>
      <c r="Y2746" t="s">
        <v>1902</v>
      </c>
      <c r="AH2746" t="s">
        <v>359</v>
      </c>
    </row>
    <row r="2747" spans="1:34" ht="15.75">
      <c r="A2747" s="29">
        <f t="shared" si="46"/>
        <v>38</v>
      </c>
      <c r="B2747" s="2">
        <v>746</v>
      </c>
      <c r="C2747" s="2">
        <v>3</v>
      </c>
      <c r="D2747" s="2">
        <v>1817</v>
      </c>
      <c r="E2747">
        <v>9506</v>
      </c>
      <c r="G2747" s="1"/>
      <c r="H2747" t="s">
        <v>1540</v>
      </c>
      <c r="I2747" s="2">
        <v>38</v>
      </c>
      <c r="J2747" s="2">
        <v>0</v>
      </c>
      <c r="K2747" s="2" t="s">
        <v>865</v>
      </c>
      <c r="L2747" s="43" t="s">
        <v>5907</v>
      </c>
      <c r="P2747" s="41">
        <v>4</v>
      </c>
      <c r="Q2747" s="41">
        <v>9</v>
      </c>
      <c r="R2747" s="41" t="s">
        <v>868</v>
      </c>
      <c r="S2747" t="s">
        <v>3321</v>
      </c>
      <c r="AH2747" t="s">
        <v>359</v>
      </c>
    </row>
    <row r="2748" spans="1:34" ht="15.75">
      <c r="A2748" s="29">
        <f t="shared" si="46"/>
        <v>0</v>
      </c>
      <c r="B2748" s="2">
        <v>746</v>
      </c>
      <c r="C2748" s="2">
        <v>3</v>
      </c>
      <c r="D2748" s="2">
        <v>1817</v>
      </c>
      <c r="E2748">
        <v>9507</v>
      </c>
      <c r="G2748" s="1"/>
      <c r="H2748" t="s">
        <v>1541</v>
      </c>
      <c r="I2748" s="2">
        <v>0</v>
      </c>
      <c r="J2748" s="2">
        <v>0</v>
      </c>
      <c r="K2748" s="2" t="s">
        <v>865</v>
      </c>
      <c r="L2748" s="43" t="s">
        <v>1903</v>
      </c>
      <c r="M2748" s="41" t="s">
        <v>4653</v>
      </c>
      <c r="O2748" s="41" t="s">
        <v>1904</v>
      </c>
      <c r="P2748" s="41">
        <v>6</v>
      </c>
      <c r="Q2748" s="41">
        <v>4</v>
      </c>
      <c r="R2748" s="41">
        <v>88</v>
      </c>
      <c r="V2748" t="s">
        <v>1905</v>
      </c>
      <c r="AH2748" t="s">
        <v>359</v>
      </c>
    </row>
    <row r="2749" spans="1:34" ht="15.75">
      <c r="A2749" s="29">
        <f t="shared" si="46"/>
        <v>38</v>
      </c>
      <c r="B2749" s="2">
        <v>746</v>
      </c>
      <c r="C2749" s="2">
        <v>3</v>
      </c>
      <c r="D2749" s="2">
        <v>1817</v>
      </c>
      <c r="E2749">
        <v>9508</v>
      </c>
      <c r="G2749" s="1"/>
      <c r="H2749" t="s">
        <v>1540</v>
      </c>
      <c r="I2749" s="2">
        <v>38</v>
      </c>
      <c r="J2749" s="2">
        <v>0</v>
      </c>
      <c r="K2749" s="2" t="s">
        <v>865</v>
      </c>
      <c r="L2749" s="43" t="s">
        <v>1413</v>
      </c>
      <c r="P2749" s="41">
        <v>3</v>
      </c>
      <c r="Q2749" s="41">
        <v>2</v>
      </c>
      <c r="R2749" s="41" t="s">
        <v>868</v>
      </c>
      <c r="S2749" t="s">
        <v>1547</v>
      </c>
      <c r="AH2749" t="s">
        <v>359</v>
      </c>
    </row>
    <row r="2750" spans="1:34" ht="15.75">
      <c r="A2750" s="29">
        <f t="shared" si="46"/>
        <v>1919</v>
      </c>
      <c r="B2750" s="2">
        <v>746</v>
      </c>
      <c r="C2750" s="2">
        <v>3</v>
      </c>
      <c r="D2750" s="2">
        <v>1817</v>
      </c>
      <c r="E2750">
        <v>9509</v>
      </c>
      <c r="G2750" s="1"/>
      <c r="H2750" t="s">
        <v>1540</v>
      </c>
      <c r="I2750" s="2">
        <v>1919</v>
      </c>
      <c r="J2750" s="2">
        <v>0</v>
      </c>
      <c r="K2750" s="2" t="s">
        <v>865</v>
      </c>
      <c r="L2750" s="43" t="s">
        <v>1420</v>
      </c>
      <c r="P2750" s="41">
        <v>19</v>
      </c>
      <c r="Q2750" s="41">
        <v>5</v>
      </c>
      <c r="R2750" s="41">
        <v>72</v>
      </c>
      <c r="S2750" t="s">
        <v>3324</v>
      </c>
      <c r="AH2750" t="s">
        <v>359</v>
      </c>
    </row>
    <row r="2751" spans="1:34" ht="15.75">
      <c r="A2751" s="29">
        <f t="shared" si="46"/>
        <v>149</v>
      </c>
      <c r="B2751" s="2">
        <v>746</v>
      </c>
      <c r="C2751" s="2">
        <v>3</v>
      </c>
      <c r="D2751" s="2">
        <v>1817</v>
      </c>
      <c r="E2751">
        <v>9510</v>
      </c>
      <c r="G2751" s="1"/>
      <c r="H2751" t="s">
        <v>1541</v>
      </c>
      <c r="I2751" s="2">
        <v>149</v>
      </c>
      <c r="J2751" s="2">
        <v>0</v>
      </c>
      <c r="K2751" s="2" t="s">
        <v>865</v>
      </c>
      <c r="L2751" s="43" t="s">
        <v>1421</v>
      </c>
      <c r="P2751" s="41">
        <v>20</v>
      </c>
      <c r="Q2751" s="41">
        <v>11</v>
      </c>
      <c r="R2751" s="41">
        <v>55</v>
      </c>
      <c r="S2751" t="s">
        <v>3321</v>
      </c>
      <c r="AH2751" t="s">
        <v>359</v>
      </c>
    </row>
    <row r="2752" spans="1:34" ht="15.75">
      <c r="A2752" s="29">
        <f t="shared" si="46"/>
        <v>16</v>
      </c>
      <c r="B2752" s="2">
        <v>747</v>
      </c>
      <c r="C2752" s="2">
        <v>3</v>
      </c>
      <c r="D2752" s="2">
        <v>1817</v>
      </c>
      <c r="E2752">
        <v>9511</v>
      </c>
      <c r="H2752" t="s">
        <v>1540</v>
      </c>
      <c r="I2752" s="1">
        <v>16</v>
      </c>
      <c r="J2752" s="1">
        <v>0</v>
      </c>
      <c r="K2752" s="2" t="s">
        <v>865</v>
      </c>
      <c r="L2752" s="43" t="s">
        <v>1424</v>
      </c>
      <c r="P2752" s="41" t="s">
        <v>1547</v>
      </c>
      <c r="Q2752" s="41">
        <v>5</v>
      </c>
      <c r="R2752" s="41" t="s">
        <v>868</v>
      </c>
      <c r="S2752" t="s">
        <v>1547</v>
      </c>
      <c r="AH2752" t="s">
        <v>359</v>
      </c>
    </row>
    <row r="2753" spans="1:34" ht="15.75">
      <c r="A2753" s="29">
        <f t="shared" si="46"/>
        <v>35</v>
      </c>
      <c r="B2753" s="2">
        <v>747</v>
      </c>
      <c r="C2753" s="2">
        <v>3</v>
      </c>
      <c r="D2753" s="2">
        <v>1817</v>
      </c>
      <c r="E2753">
        <v>9512</v>
      </c>
      <c r="H2753" t="s">
        <v>1541</v>
      </c>
      <c r="I2753" s="1">
        <v>35</v>
      </c>
      <c r="J2753" s="1">
        <v>0</v>
      </c>
      <c r="K2753" s="2" t="s">
        <v>865</v>
      </c>
      <c r="L2753" s="43" t="s">
        <v>1429</v>
      </c>
      <c r="P2753" s="41">
        <v>28</v>
      </c>
      <c r="Q2753" s="41">
        <v>4</v>
      </c>
      <c r="R2753" s="41">
        <v>51</v>
      </c>
      <c r="S2753" t="s">
        <v>3321</v>
      </c>
      <c r="AH2753" t="s">
        <v>359</v>
      </c>
    </row>
    <row r="2754" spans="1:34" ht="15.75">
      <c r="A2754" s="29">
        <f t="shared" si="46"/>
        <v>473</v>
      </c>
      <c r="B2754" s="2">
        <v>747</v>
      </c>
      <c r="C2754" s="2">
        <v>3</v>
      </c>
      <c r="D2754" s="2">
        <v>1817</v>
      </c>
      <c r="E2754">
        <v>9513</v>
      </c>
      <c r="H2754" t="s">
        <v>1540</v>
      </c>
      <c r="I2754" s="1">
        <v>473</v>
      </c>
      <c r="J2754" s="1">
        <v>0</v>
      </c>
      <c r="K2754" s="2" t="s">
        <v>865</v>
      </c>
      <c r="L2754" s="43" t="s">
        <v>1906</v>
      </c>
      <c r="P2754" s="41">
        <v>17</v>
      </c>
      <c r="Q2754" s="41">
        <v>12</v>
      </c>
      <c r="R2754" s="41">
        <v>31</v>
      </c>
      <c r="S2754" t="s">
        <v>3321</v>
      </c>
      <c r="AH2754" t="s">
        <v>359</v>
      </c>
    </row>
    <row r="2755" spans="1:34" ht="15.75">
      <c r="A2755" s="29">
        <f t="shared" si="46"/>
        <v>29</v>
      </c>
      <c r="B2755" s="2">
        <v>747</v>
      </c>
      <c r="C2755" s="2">
        <v>3</v>
      </c>
      <c r="D2755" s="2">
        <v>1817</v>
      </c>
      <c r="E2755">
        <v>9514</v>
      </c>
      <c r="H2755" t="s">
        <v>1541</v>
      </c>
      <c r="I2755" s="1">
        <v>29</v>
      </c>
      <c r="J2755" s="1">
        <v>0</v>
      </c>
      <c r="K2755" s="2" t="s">
        <v>865</v>
      </c>
      <c r="L2755" s="43" t="s">
        <v>1437</v>
      </c>
      <c r="P2755" s="41">
        <v>21</v>
      </c>
      <c r="Q2755" s="41">
        <v>8</v>
      </c>
      <c r="R2755" s="41">
        <v>34</v>
      </c>
      <c r="S2755" t="s">
        <v>3343</v>
      </c>
      <c r="AH2755" t="s">
        <v>359</v>
      </c>
    </row>
    <row r="2756" spans="1:34" ht="15.75">
      <c r="A2756" s="29">
        <f t="shared" si="46"/>
        <v>8688</v>
      </c>
      <c r="B2756" s="2">
        <v>747</v>
      </c>
      <c r="C2756" s="2">
        <v>3</v>
      </c>
      <c r="D2756" s="2">
        <v>1817</v>
      </c>
      <c r="E2756">
        <v>9515</v>
      </c>
      <c r="H2756" t="s">
        <v>1540</v>
      </c>
      <c r="I2756">
        <v>8688</v>
      </c>
      <c r="J2756" s="1">
        <v>0</v>
      </c>
      <c r="K2756" s="2" t="s">
        <v>865</v>
      </c>
      <c r="L2756" s="43" t="s">
        <v>4924</v>
      </c>
      <c r="P2756" s="41">
        <v>21</v>
      </c>
      <c r="Q2756" s="41">
        <v>6</v>
      </c>
      <c r="R2756" s="41" t="s">
        <v>868</v>
      </c>
      <c r="S2756" t="s">
        <v>3321</v>
      </c>
      <c r="AH2756" t="s">
        <v>359</v>
      </c>
    </row>
    <row r="2757" spans="1:34" ht="15.75">
      <c r="A2757" s="29">
        <f t="shared" si="46"/>
        <v>198</v>
      </c>
      <c r="B2757" s="2">
        <v>747</v>
      </c>
      <c r="C2757" s="2">
        <v>3</v>
      </c>
      <c r="D2757" s="2">
        <v>1817</v>
      </c>
      <c r="E2757">
        <v>9516</v>
      </c>
      <c r="H2757" t="s">
        <v>1540</v>
      </c>
      <c r="I2757">
        <v>198</v>
      </c>
      <c r="J2757" s="1">
        <v>0</v>
      </c>
      <c r="K2757" s="2" t="s">
        <v>865</v>
      </c>
      <c r="L2757" s="43" t="s">
        <v>1438</v>
      </c>
      <c r="P2757" s="41">
        <v>25</v>
      </c>
      <c r="Q2757" s="41">
        <v>4</v>
      </c>
      <c r="R2757" s="41">
        <v>72</v>
      </c>
      <c r="S2757" t="s">
        <v>3329</v>
      </c>
      <c r="AH2757" t="s">
        <v>359</v>
      </c>
    </row>
    <row r="2758" spans="1:34" ht="15.75">
      <c r="A2758" s="29">
        <f t="shared" si="46"/>
        <v>1153</v>
      </c>
      <c r="B2758" s="2">
        <v>747</v>
      </c>
      <c r="C2758" s="2">
        <v>3</v>
      </c>
      <c r="D2758" s="2">
        <v>1817</v>
      </c>
      <c r="E2758">
        <v>9517</v>
      </c>
      <c r="H2758" t="s">
        <v>1540</v>
      </c>
      <c r="I2758">
        <v>1153</v>
      </c>
      <c r="J2758" s="1">
        <v>0</v>
      </c>
      <c r="K2758" s="2" t="s">
        <v>865</v>
      </c>
      <c r="L2758" s="43" t="s">
        <v>2693</v>
      </c>
      <c r="P2758" s="41">
        <v>26</v>
      </c>
      <c r="Q2758" s="41">
        <v>5</v>
      </c>
      <c r="R2758" s="41">
        <v>33</v>
      </c>
      <c r="S2758" t="s">
        <v>3321</v>
      </c>
      <c r="AH2758" t="s">
        <v>359</v>
      </c>
    </row>
    <row r="2759" spans="1:34" ht="15.75">
      <c r="A2759" s="29">
        <f t="shared" si="46"/>
        <v>157</v>
      </c>
      <c r="B2759" s="2">
        <v>747</v>
      </c>
      <c r="C2759" s="2">
        <v>3</v>
      </c>
      <c r="D2759" s="2">
        <v>1817</v>
      </c>
      <c r="E2759">
        <v>9518</v>
      </c>
      <c r="H2759" t="s">
        <v>1540</v>
      </c>
      <c r="I2759">
        <v>157</v>
      </c>
      <c r="J2759" s="1">
        <v>0</v>
      </c>
      <c r="K2759" s="2" t="s">
        <v>865</v>
      </c>
      <c r="L2759" s="43" t="s">
        <v>1440</v>
      </c>
      <c r="P2759" s="41">
        <v>22</v>
      </c>
      <c r="Q2759" s="41">
        <v>1</v>
      </c>
      <c r="R2759" s="41">
        <v>34</v>
      </c>
      <c r="S2759" t="s">
        <v>3321</v>
      </c>
      <c r="AH2759" t="s">
        <v>359</v>
      </c>
    </row>
    <row r="2760" spans="1:34" ht="15.75">
      <c r="A2760" s="29">
        <f t="shared" si="46"/>
        <v>40</v>
      </c>
      <c r="B2760" s="2">
        <v>747</v>
      </c>
      <c r="C2760" s="2">
        <v>3</v>
      </c>
      <c r="D2760" s="2">
        <v>1817</v>
      </c>
      <c r="E2760">
        <v>9519</v>
      </c>
      <c r="H2760" t="s">
        <v>1541</v>
      </c>
      <c r="I2760">
        <v>40</v>
      </c>
      <c r="J2760" s="1">
        <v>0</v>
      </c>
      <c r="K2760" s="2" t="s">
        <v>865</v>
      </c>
      <c r="L2760" s="43" t="s">
        <v>1440</v>
      </c>
      <c r="P2760" s="41">
        <v>9</v>
      </c>
      <c r="Q2760" s="41">
        <v>4</v>
      </c>
      <c r="R2760" s="41">
        <v>73</v>
      </c>
      <c r="S2760" t="s">
        <v>3329</v>
      </c>
      <c r="AH2760" t="s">
        <v>359</v>
      </c>
    </row>
    <row r="2761" spans="1:34" ht="15.75">
      <c r="A2761" s="29">
        <f t="shared" si="46"/>
        <v>33600</v>
      </c>
      <c r="B2761" s="2">
        <v>747</v>
      </c>
      <c r="C2761" s="2">
        <v>3</v>
      </c>
      <c r="D2761" s="2">
        <v>1817</v>
      </c>
      <c r="E2761">
        <v>9520</v>
      </c>
      <c r="H2761" t="s">
        <v>1540</v>
      </c>
      <c r="I2761">
        <v>33600</v>
      </c>
      <c r="J2761" s="1">
        <v>0</v>
      </c>
      <c r="K2761" s="2" t="s">
        <v>865</v>
      </c>
      <c r="L2761" s="43" t="s">
        <v>1907</v>
      </c>
      <c r="M2761" s="41" t="s">
        <v>1908</v>
      </c>
      <c r="N2761" s="41" t="s">
        <v>1909</v>
      </c>
      <c r="O2761" s="41" t="s">
        <v>1910</v>
      </c>
      <c r="P2761" s="41">
        <v>6</v>
      </c>
      <c r="Q2761" s="41">
        <v>12</v>
      </c>
      <c r="R2761" s="41">
        <v>17</v>
      </c>
      <c r="S2761" t="s">
        <v>847</v>
      </c>
      <c r="T2761" t="s">
        <v>1911</v>
      </c>
      <c r="V2761" t="s">
        <v>4654</v>
      </c>
      <c r="AH2761" t="s">
        <v>359</v>
      </c>
    </row>
    <row r="2762" spans="1:34" ht="15.75">
      <c r="A2762" s="29">
        <f t="shared" si="46"/>
        <v>2408</v>
      </c>
      <c r="B2762" s="2">
        <v>747</v>
      </c>
      <c r="C2762" s="2">
        <v>3</v>
      </c>
      <c r="D2762" s="2">
        <v>1817</v>
      </c>
      <c r="E2762">
        <v>9521</v>
      </c>
      <c r="H2762" t="s">
        <v>1540</v>
      </c>
      <c r="I2762">
        <v>2408</v>
      </c>
      <c r="J2762" s="1">
        <v>0</v>
      </c>
      <c r="K2762" s="2" t="s">
        <v>865</v>
      </c>
      <c r="L2762" s="43" t="s">
        <v>5973</v>
      </c>
      <c r="P2762" s="41">
        <v>25</v>
      </c>
      <c r="Q2762" s="41">
        <v>5</v>
      </c>
      <c r="R2762" s="41">
        <v>62</v>
      </c>
      <c r="S2762" t="s">
        <v>3321</v>
      </c>
      <c r="AH2762" t="s">
        <v>359</v>
      </c>
    </row>
    <row r="2763" spans="1:34" ht="15.75">
      <c r="A2763" s="29">
        <f t="shared" si="46"/>
        <v>13213</v>
      </c>
      <c r="B2763" s="2">
        <v>747</v>
      </c>
      <c r="C2763" s="2">
        <v>3</v>
      </c>
      <c r="D2763" s="2">
        <v>1817</v>
      </c>
      <c r="E2763">
        <v>9522</v>
      </c>
      <c r="H2763" t="s">
        <v>1541</v>
      </c>
      <c r="I2763">
        <v>13213</v>
      </c>
      <c r="J2763" s="1">
        <v>0</v>
      </c>
      <c r="K2763" s="2" t="s">
        <v>865</v>
      </c>
      <c r="L2763" s="43" t="s">
        <v>5973</v>
      </c>
      <c r="P2763" s="41">
        <v>26</v>
      </c>
      <c r="Q2763" s="41">
        <v>8</v>
      </c>
      <c r="R2763" s="41" t="s">
        <v>868</v>
      </c>
      <c r="S2763" t="s">
        <v>3321</v>
      </c>
      <c r="AH2763" t="s">
        <v>359</v>
      </c>
    </row>
    <row r="2764" spans="1:34" ht="15.75">
      <c r="A2764" s="29">
        <f t="shared" si="46"/>
        <v>36</v>
      </c>
      <c r="B2764" s="2">
        <v>747</v>
      </c>
      <c r="C2764" s="2">
        <v>3</v>
      </c>
      <c r="D2764" s="2">
        <v>1817</v>
      </c>
      <c r="E2764">
        <v>9523</v>
      </c>
      <c r="I2764" s="1">
        <v>36</v>
      </c>
      <c r="J2764" s="1">
        <v>0</v>
      </c>
      <c r="K2764" s="2" t="s">
        <v>865</v>
      </c>
      <c r="L2764" s="43" t="s">
        <v>5980</v>
      </c>
      <c r="P2764" s="41">
        <v>4</v>
      </c>
      <c r="Q2764" s="41">
        <v>11</v>
      </c>
      <c r="R2764" s="41">
        <v>65</v>
      </c>
      <c r="S2764" t="s">
        <v>3329</v>
      </c>
      <c r="AH2764" t="s">
        <v>359</v>
      </c>
    </row>
    <row r="2765" spans="1:34" ht="15.75">
      <c r="A2765" s="29">
        <f t="shared" si="46"/>
        <v>930</v>
      </c>
      <c r="B2765" s="8">
        <v>747</v>
      </c>
      <c r="C2765" s="2">
        <v>3</v>
      </c>
      <c r="D2765" s="8">
        <v>1817</v>
      </c>
      <c r="E2765">
        <v>9524</v>
      </c>
      <c r="F2765" s="9"/>
      <c r="G2765" s="9"/>
      <c r="H2765" s="9" t="s">
        <v>1540</v>
      </c>
      <c r="I2765" s="9">
        <v>930</v>
      </c>
      <c r="J2765" s="7">
        <v>0</v>
      </c>
      <c r="K2765" s="2" t="s">
        <v>865</v>
      </c>
      <c r="L2765" s="43" t="s">
        <v>5980</v>
      </c>
      <c r="M2765" s="43"/>
      <c r="N2765" s="43"/>
      <c r="O2765" s="43"/>
      <c r="P2765" s="43">
        <v>28</v>
      </c>
      <c r="Q2765" s="43">
        <v>11</v>
      </c>
      <c r="R2765" s="43">
        <v>85</v>
      </c>
      <c r="S2765" t="s">
        <v>3321</v>
      </c>
      <c r="T2765" s="9"/>
      <c r="U2765" s="9"/>
      <c r="V2765" s="9"/>
      <c r="W2765" s="9"/>
      <c r="X2765" s="9"/>
      <c r="Y2765" s="9"/>
      <c r="AH2765" t="s">
        <v>359</v>
      </c>
    </row>
    <row r="2766" spans="1:34" ht="15.75">
      <c r="A2766" s="29">
        <f t="shared" si="46"/>
        <v>2300</v>
      </c>
      <c r="B2766" s="8">
        <v>748</v>
      </c>
      <c r="C2766" s="2">
        <v>3</v>
      </c>
      <c r="D2766" s="8">
        <v>1817</v>
      </c>
      <c r="E2766">
        <v>9525</v>
      </c>
      <c r="F2766" s="9"/>
      <c r="G2766" s="7"/>
      <c r="H2766" s="9" t="s">
        <v>1540</v>
      </c>
      <c r="I2766" s="8">
        <f>300+2000</f>
        <v>2300</v>
      </c>
      <c r="J2766" s="8">
        <v>0</v>
      </c>
      <c r="K2766" s="2" t="s">
        <v>865</v>
      </c>
      <c r="L2766" s="43" t="s">
        <v>5981</v>
      </c>
      <c r="M2766" s="43"/>
      <c r="N2766" s="43"/>
      <c r="O2766" s="43"/>
      <c r="P2766" s="43">
        <v>28</v>
      </c>
      <c r="Q2766" s="43">
        <v>6</v>
      </c>
      <c r="R2766" s="43">
        <v>75</v>
      </c>
      <c r="S2766" t="s">
        <v>3321</v>
      </c>
      <c r="T2766" s="9"/>
      <c r="U2766" s="9"/>
      <c r="V2766" s="9"/>
      <c r="W2766" s="9"/>
      <c r="X2766" s="9"/>
      <c r="Y2766" s="9"/>
      <c r="AH2766" t="s">
        <v>359</v>
      </c>
    </row>
    <row r="2767" spans="1:34" ht="15.75">
      <c r="A2767" s="29">
        <f t="shared" si="46"/>
        <v>271</v>
      </c>
      <c r="B2767" s="8">
        <v>748</v>
      </c>
      <c r="C2767" s="2">
        <v>3</v>
      </c>
      <c r="D2767" s="8">
        <v>1817</v>
      </c>
      <c r="E2767">
        <v>9527</v>
      </c>
      <c r="F2767" s="9"/>
      <c r="G2767" s="7"/>
      <c r="H2767" s="9" t="s">
        <v>1541</v>
      </c>
      <c r="I2767" s="8">
        <v>271</v>
      </c>
      <c r="J2767" s="8">
        <v>0</v>
      </c>
      <c r="K2767" s="2" t="s">
        <v>865</v>
      </c>
      <c r="L2767" s="43" t="s">
        <v>1482</v>
      </c>
      <c r="M2767" s="43"/>
      <c r="N2767" s="43"/>
      <c r="O2767" s="43"/>
      <c r="P2767" s="43">
        <v>4</v>
      </c>
      <c r="Q2767" s="43">
        <v>4</v>
      </c>
      <c r="R2767" s="43">
        <v>61</v>
      </c>
      <c r="S2767" t="s">
        <v>3321</v>
      </c>
      <c r="T2767" s="9"/>
      <c r="U2767" s="9"/>
      <c r="V2767" s="9"/>
      <c r="W2767" s="9"/>
      <c r="X2767" s="9"/>
      <c r="Y2767" s="9"/>
      <c r="AH2767" t="s">
        <v>359</v>
      </c>
    </row>
    <row r="2768" spans="1:34" ht="15.75">
      <c r="A2768" s="29">
        <f t="shared" si="46"/>
        <v>40596</v>
      </c>
      <c r="B2768" s="8">
        <v>748</v>
      </c>
      <c r="C2768" s="2">
        <v>3</v>
      </c>
      <c r="D2768" s="8">
        <v>1817</v>
      </c>
      <c r="E2768">
        <v>9529</v>
      </c>
      <c r="F2768" s="9"/>
      <c r="G2768" s="7"/>
      <c r="H2768" s="9" t="s">
        <v>1541</v>
      </c>
      <c r="I2768" s="8">
        <f>29525+11071</f>
        <v>40596</v>
      </c>
      <c r="J2768" s="8">
        <v>0</v>
      </c>
      <c r="K2768" s="2" t="s">
        <v>865</v>
      </c>
      <c r="L2768" s="43" t="s">
        <v>5090</v>
      </c>
      <c r="M2768" s="43" t="s">
        <v>1914</v>
      </c>
      <c r="N2768" s="43"/>
      <c r="O2768" s="43" t="s">
        <v>1915</v>
      </c>
      <c r="P2768" s="43">
        <v>4</v>
      </c>
      <c r="Q2768" s="43">
        <v>12</v>
      </c>
      <c r="R2768" s="43">
        <v>34</v>
      </c>
      <c r="S2768" s="9" t="s">
        <v>1916</v>
      </c>
      <c r="T2768" s="9" t="s">
        <v>4646</v>
      </c>
      <c r="U2768" s="9"/>
      <c r="V2768" s="9" t="s">
        <v>1548</v>
      </c>
      <c r="W2768" s="9"/>
      <c r="X2768" s="9"/>
      <c r="Y2768" s="9"/>
      <c r="AH2768" t="s">
        <v>359</v>
      </c>
    </row>
    <row r="2769" spans="1:34" ht="15.75">
      <c r="A2769" s="29">
        <f t="shared" si="46"/>
        <v>16828</v>
      </c>
      <c r="B2769" s="8">
        <v>748</v>
      </c>
      <c r="C2769" s="2">
        <v>3</v>
      </c>
      <c r="D2769" s="8">
        <v>1817</v>
      </c>
      <c r="E2769">
        <v>9530</v>
      </c>
      <c r="F2769" s="9"/>
      <c r="G2769" s="7"/>
      <c r="H2769" s="9" t="s">
        <v>1541</v>
      </c>
      <c r="I2769" s="8">
        <v>16828</v>
      </c>
      <c r="J2769" s="8">
        <v>0</v>
      </c>
      <c r="K2769" s="2" t="s">
        <v>865</v>
      </c>
      <c r="L2769" s="43" t="s">
        <v>1917</v>
      </c>
      <c r="M2769" s="43" t="s">
        <v>1918</v>
      </c>
      <c r="N2769" s="43"/>
      <c r="O2769" s="43" t="s">
        <v>1919</v>
      </c>
      <c r="P2769" s="43">
        <v>8</v>
      </c>
      <c r="Q2769" s="43">
        <v>4</v>
      </c>
      <c r="R2769" s="43">
        <v>43</v>
      </c>
      <c r="S2769" s="9" t="s">
        <v>1920</v>
      </c>
      <c r="T2769" s="9" t="s">
        <v>4934</v>
      </c>
      <c r="U2769" s="9"/>
      <c r="V2769" s="9" t="s">
        <v>1182</v>
      </c>
      <c r="W2769" s="9"/>
      <c r="X2769" s="9"/>
      <c r="Y2769" s="9"/>
      <c r="AH2769" t="s">
        <v>359</v>
      </c>
    </row>
    <row r="2770" spans="1:34" ht="15.75">
      <c r="A2770" s="29">
        <f t="shared" si="46"/>
        <v>587</v>
      </c>
      <c r="B2770" s="2">
        <v>749</v>
      </c>
      <c r="C2770" s="2">
        <v>3</v>
      </c>
      <c r="D2770" s="2">
        <v>1817</v>
      </c>
      <c r="E2770">
        <v>9531</v>
      </c>
      <c r="G2770" s="1"/>
      <c r="H2770" t="s">
        <v>1541</v>
      </c>
      <c r="I2770" s="2">
        <v>587</v>
      </c>
      <c r="J2770" s="2">
        <v>0</v>
      </c>
      <c r="K2770" s="2" t="s">
        <v>865</v>
      </c>
      <c r="L2770" s="43" t="s">
        <v>1921</v>
      </c>
      <c r="P2770" s="41">
        <v>31</v>
      </c>
      <c r="Q2770" s="41">
        <v>5</v>
      </c>
      <c r="R2770" s="41">
        <v>27</v>
      </c>
      <c r="S2770" t="s">
        <v>3321</v>
      </c>
      <c r="AH2770" t="s">
        <v>359</v>
      </c>
    </row>
    <row r="2771" spans="1:34" ht="15.75">
      <c r="A2771" s="29">
        <f t="shared" si="46"/>
        <v>39</v>
      </c>
      <c r="B2771" s="2">
        <v>749</v>
      </c>
      <c r="C2771" s="2">
        <v>3</v>
      </c>
      <c r="D2771" s="2">
        <v>1817</v>
      </c>
      <c r="E2771">
        <v>9533</v>
      </c>
      <c r="G2771" s="1"/>
      <c r="H2771" t="s">
        <v>1541</v>
      </c>
      <c r="I2771" s="2">
        <v>39</v>
      </c>
      <c r="J2771" s="2">
        <v>0</v>
      </c>
      <c r="K2771" s="2" t="s">
        <v>865</v>
      </c>
      <c r="L2771" s="43" t="s">
        <v>1456</v>
      </c>
      <c r="P2771" s="41">
        <v>8</v>
      </c>
      <c r="Q2771" s="41">
        <v>5</v>
      </c>
      <c r="R2771" s="41">
        <v>68</v>
      </c>
      <c r="S2771" t="s">
        <v>3321</v>
      </c>
      <c r="AH2771" t="s">
        <v>359</v>
      </c>
    </row>
    <row r="2772" spans="1:34" ht="15.75">
      <c r="A2772" s="29">
        <f t="shared" si="46"/>
        <v>751</v>
      </c>
      <c r="B2772" s="2">
        <v>749</v>
      </c>
      <c r="C2772" s="2">
        <v>3</v>
      </c>
      <c r="D2772" s="2">
        <v>1817</v>
      </c>
      <c r="E2772">
        <v>9534</v>
      </c>
      <c r="G2772" s="1"/>
      <c r="H2772" t="s">
        <v>1540</v>
      </c>
      <c r="I2772" s="2">
        <v>751</v>
      </c>
      <c r="J2772" s="2">
        <v>0</v>
      </c>
      <c r="K2772" s="2" t="s">
        <v>865</v>
      </c>
      <c r="L2772" s="43" t="s">
        <v>1456</v>
      </c>
      <c r="P2772" s="41">
        <v>24</v>
      </c>
      <c r="Q2772" s="41">
        <v>8</v>
      </c>
      <c r="R2772" s="41">
        <v>32</v>
      </c>
      <c r="S2772" t="s">
        <v>3329</v>
      </c>
      <c r="AH2772" t="s">
        <v>359</v>
      </c>
    </row>
    <row r="2773" spans="1:34" ht="15.75">
      <c r="A2773" s="29">
        <f t="shared" si="46"/>
        <v>2059</v>
      </c>
      <c r="B2773" s="2">
        <v>749</v>
      </c>
      <c r="C2773" s="2">
        <v>3</v>
      </c>
      <c r="D2773" s="2">
        <v>1817</v>
      </c>
      <c r="E2773">
        <v>9535</v>
      </c>
      <c r="G2773" s="1"/>
      <c r="H2773" t="s">
        <v>1541</v>
      </c>
      <c r="I2773" s="2">
        <f>406+144+1509</f>
        <v>2059</v>
      </c>
      <c r="J2773" s="2">
        <v>0</v>
      </c>
      <c r="K2773" s="2" t="s">
        <v>865</v>
      </c>
      <c r="L2773" s="43" t="s">
        <v>5989</v>
      </c>
      <c r="P2773" s="41">
        <v>1</v>
      </c>
      <c r="Q2773" s="41">
        <v>6</v>
      </c>
      <c r="R2773" s="41" t="s">
        <v>868</v>
      </c>
      <c r="S2773" t="s">
        <v>1547</v>
      </c>
      <c r="AH2773" t="s">
        <v>359</v>
      </c>
    </row>
    <row r="2774" spans="1:34" ht="15.75">
      <c r="A2774" s="29">
        <f t="shared" si="46"/>
        <v>999</v>
      </c>
      <c r="B2774" s="2">
        <v>749</v>
      </c>
      <c r="C2774" s="2">
        <v>3</v>
      </c>
      <c r="D2774" s="2">
        <v>1817</v>
      </c>
      <c r="E2774">
        <v>9537</v>
      </c>
      <c r="G2774" s="1"/>
      <c r="H2774" t="s">
        <v>1540</v>
      </c>
      <c r="I2774" s="2">
        <v>999</v>
      </c>
      <c r="J2774" s="2">
        <v>0</v>
      </c>
      <c r="K2774" s="2" t="s">
        <v>865</v>
      </c>
      <c r="L2774" s="43" t="s">
        <v>1465</v>
      </c>
      <c r="P2774" s="41">
        <v>18</v>
      </c>
      <c r="Q2774" s="41">
        <v>6</v>
      </c>
      <c r="R2774" s="41">
        <v>74</v>
      </c>
      <c r="S2774" t="s">
        <v>3321</v>
      </c>
      <c r="AH2774" t="s">
        <v>359</v>
      </c>
    </row>
    <row r="2775" spans="1:34" ht="15.75">
      <c r="A2775" s="29">
        <f aca="true" t="shared" si="47" ref="A2775:A2838">I2775+J2775*20*X2775</f>
        <v>13718</v>
      </c>
      <c r="B2775" s="2">
        <v>749</v>
      </c>
      <c r="C2775" s="2">
        <v>3</v>
      </c>
      <c r="D2775" s="2">
        <v>1817</v>
      </c>
      <c r="E2775">
        <v>9538</v>
      </c>
      <c r="G2775" s="1"/>
      <c r="H2775" t="s">
        <v>1541</v>
      </c>
      <c r="I2775" s="2">
        <v>13718</v>
      </c>
      <c r="J2775" s="2">
        <v>0</v>
      </c>
      <c r="K2775" s="2" t="s">
        <v>865</v>
      </c>
      <c r="L2775" s="43" t="s">
        <v>1465</v>
      </c>
      <c r="P2775" s="41">
        <v>26</v>
      </c>
      <c r="Q2775" s="41">
        <v>7</v>
      </c>
      <c r="R2775" s="41" t="s">
        <v>868</v>
      </c>
      <c r="S2775" t="s">
        <v>3321</v>
      </c>
      <c r="AH2775" t="s">
        <v>359</v>
      </c>
    </row>
    <row r="2776" spans="1:34" ht="15.75">
      <c r="A2776" s="29">
        <f t="shared" si="47"/>
        <v>1280</v>
      </c>
      <c r="B2776" s="2">
        <v>749</v>
      </c>
      <c r="C2776" s="2">
        <v>3</v>
      </c>
      <c r="D2776" s="2">
        <v>1817</v>
      </c>
      <c r="E2776">
        <v>9539</v>
      </c>
      <c r="G2776" s="1"/>
      <c r="H2776" t="s">
        <v>1541</v>
      </c>
      <c r="I2776" s="2">
        <v>1280</v>
      </c>
      <c r="J2776" s="2">
        <v>0</v>
      </c>
      <c r="K2776" s="2" t="s">
        <v>865</v>
      </c>
      <c r="L2776" s="43" t="s">
        <v>1466</v>
      </c>
      <c r="P2776" s="41">
        <v>10</v>
      </c>
      <c r="Q2776" s="41">
        <v>7</v>
      </c>
      <c r="R2776" s="41">
        <v>78</v>
      </c>
      <c r="S2776" t="s">
        <v>3321</v>
      </c>
      <c r="AH2776" t="s">
        <v>359</v>
      </c>
    </row>
    <row r="2777" spans="1:34" ht="15.75">
      <c r="A2777" s="29">
        <f t="shared" si="47"/>
        <v>637</v>
      </c>
      <c r="B2777" s="2">
        <v>750</v>
      </c>
      <c r="C2777" s="2">
        <v>3</v>
      </c>
      <c r="D2777" s="2">
        <v>1817</v>
      </c>
      <c r="E2777">
        <v>9540</v>
      </c>
      <c r="H2777" t="s">
        <v>1540</v>
      </c>
      <c r="I2777" s="1">
        <v>637</v>
      </c>
      <c r="J2777" s="1">
        <v>0</v>
      </c>
      <c r="K2777" s="1" t="s">
        <v>1549</v>
      </c>
      <c r="L2777" s="43" t="s">
        <v>4880</v>
      </c>
      <c r="P2777" s="41">
        <v>21</v>
      </c>
      <c r="Q2777" s="41">
        <v>3</v>
      </c>
      <c r="R2777" s="41">
        <v>38</v>
      </c>
      <c r="S2777" t="s">
        <v>3343</v>
      </c>
      <c r="AH2777" t="s">
        <v>359</v>
      </c>
    </row>
    <row r="2778" spans="1:34" ht="15.75">
      <c r="A2778" s="29">
        <f t="shared" si="47"/>
        <v>2954</v>
      </c>
      <c r="B2778" s="2">
        <v>750</v>
      </c>
      <c r="C2778" s="2">
        <v>3</v>
      </c>
      <c r="D2778" s="2">
        <v>1817</v>
      </c>
      <c r="E2778">
        <v>9541</v>
      </c>
      <c r="H2778" t="s">
        <v>1549</v>
      </c>
      <c r="I2778" s="1">
        <v>2954</v>
      </c>
      <c r="J2778" s="1">
        <v>0</v>
      </c>
      <c r="K2778" s="1" t="s">
        <v>1549</v>
      </c>
      <c r="L2778" s="43" t="s">
        <v>1467</v>
      </c>
      <c r="P2778" s="41">
        <v>29</v>
      </c>
      <c r="Q2778" s="41">
        <v>5</v>
      </c>
      <c r="R2778" s="41" t="s">
        <v>868</v>
      </c>
      <c r="S2778" t="s">
        <v>1547</v>
      </c>
      <c r="AH2778" t="s">
        <v>359</v>
      </c>
    </row>
    <row r="2779" spans="1:34" ht="15.75">
      <c r="A2779" s="29">
        <f t="shared" si="47"/>
        <v>2560</v>
      </c>
      <c r="B2779" s="2">
        <v>750</v>
      </c>
      <c r="C2779" s="2">
        <v>3</v>
      </c>
      <c r="D2779" s="2">
        <v>1817</v>
      </c>
      <c r="E2779">
        <v>9542</v>
      </c>
      <c r="H2779" t="s">
        <v>1541</v>
      </c>
      <c r="I2779" s="1">
        <v>2560</v>
      </c>
      <c r="J2779" s="1">
        <v>0</v>
      </c>
      <c r="K2779" s="1" t="s">
        <v>1549</v>
      </c>
      <c r="L2779" s="43" t="s">
        <v>1467</v>
      </c>
      <c r="P2779" s="41">
        <v>8</v>
      </c>
      <c r="Q2779" s="41">
        <v>9</v>
      </c>
      <c r="R2779" s="41" t="s">
        <v>868</v>
      </c>
      <c r="S2779" t="s">
        <v>3343</v>
      </c>
      <c r="AH2779" t="s">
        <v>359</v>
      </c>
    </row>
    <row r="2780" spans="1:34" ht="15.75">
      <c r="A2780" s="29">
        <f t="shared" si="47"/>
        <v>1931</v>
      </c>
      <c r="B2780" s="2">
        <v>750</v>
      </c>
      <c r="C2780" s="2">
        <v>3</v>
      </c>
      <c r="D2780" s="2">
        <v>1817</v>
      </c>
      <c r="E2780">
        <v>9543</v>
      </c>
      <c r="H2780" t="s">
        <v>850</v>
      </c>
      <c r="I2780" s="1">
        <v>1931</v>
      </c>
      <c r="J2780" s="1">
        <v>0</v>
      </c>
      <c r="K2780" s="1" t="s">
        <v>1549</v>
      </c>
      <c r="L2780" s="43" t="s">
        <v>1467</v>
      </c>
      <c r="P2780" s="41">
        <v>7</v>
      </c>
      <c r="Q2780" s="41">
        <v>10</v>
      </c>
      <c r="R2780" s="41">
        <v>79</v>
      </c>
      <c r="S2780" t="s">
        <v>1547</v>
      </c>
      <c r="AH2780" t="s">
        <v>359</v>
      </c>
    </row>
    <row r="2781" spans="1:34" ht="15.75">
      <c r="A2781" s="29">
        <f t="shared" si="47"/>
        <v>96190</v>
      </c>
      <c r="B2781" s="2">
        <v>750</v>
      </c>
      <c r="C2781" s="2">
        <v>3</v>
      </c>
      <c r="D2781" s="2">
        <v>1817</v>
      </c>
      <c r="E2781">
        <v>9544</v>
      </c>
      <c r="H2781" t="s">
        <v>850</v>
      </c>
      <c r="I2781" s="1">
        <v>96190</v>
      </c>
      <c r="J2781" s="1">
        <v>0</v>
      </c>
      <c r="K2781" s="1" t="s">
        <v>1549</v>
      </c>
      <c r="L2781" s="43" t="s">
        <v>1939</v>
      </c>
      <c r="M2781" s="43" t="s">
        <v>4766</v>
      </c>
      <c r="N2781" s="41" t="s">
        <v>1940</v>
      </c>
      <c r="O2781" s="41" t="s">
        <v>1941</v>
      </c>
      <c r="P2781" s="41">
        <v>7</v>
      </c>
      <c r="Q2781" s="41">
        <v>10</v>
      </c>
      <c r="R2781" s="41">
        <v>45</v>
      </c>
      <c r="S2781" t="s">
        <v>3321</v>
      </c>
      <c r="T2781" t="s">
        <v>969</v>
      </c>
      <c r="V2781" t="s">
        <v>1942</v>
      </c>
      <c r="AH2781" t="s">
        <v>359</v>
      </c>
    </row>
    <row r="2782" spans="1:34" ht="15.75">
      <c r="A2782" s="29">
        <f t="shared" si="47"/>
        <v>7656</v>
      </c>
      <c r="B2782" s="2">
        <v>750</v>
      </c>
      <c r="C2782" s="2">
        <v>3</v>
      </c>
      <c r="D2782" s="2">
        <v>1817</v>
      </c>
      <c r="E2782">
        <v>9545</v>
      </c>
      <c r="H2782" t="s">
        <v>1540</v>
      </c>
      <c r="I2782" s="1">
        <v>7656</v>
      </c>
      <c r="J2782" s="1">
        <v>0</v>
      </c>
      <c r="K2782" s="1" t="s">
        <v>1549</v>
      </c>
      <c r="L2782" s="43" t="s">
        <v>5987</v>
      </c>
      <c r="P2782" s="41">
        <v>30</v>
      </c>
      <c r="Q2782" s="41">
        <v>12</v>
      </c>
      <c r="R2782" s="41">
        <v>83</v>
      </c>
      <c r="S2782" t="s">
        <v>3321</v>
      </c>
      <c r="AH2782" t="s">
        <v>359</v>
      </c>
    </row>
    <row r="2783" spans="1:34" ht="15.75">
      <c r="A2783" s="29">
        <f t="shared" si="47"/>
        <v>30</v>
      </c>
      <c r="B2783" s="2">
        <v>750</v>
      </c>
      <c r="C2783" s="2">
        <v>3</v>
      </c>
      <c r="D2783" s="2">
        <v>1817</v>
      </c>
      <c r="E2783">
        <v>9546</v>
      </c>
      <c r="H2783" t="s">
        <v>1540</v>
      </c>
      <c r="I2783" s="1">
        <v>30</v>
      </c>
      <c r="J2783" s="1">
        <v>0</v>
      </c>
      <c r="K2783" s="1" t="s">
        <v>1549</v>
      </c>
      <c r="L2783" s="43" t="s">
        <v>1474</v>
      </c>
      <c r="P2783" s="41">
        <v>2</v>
      </c>
      <c r="Q2783" s="41">
        <v>5</v>
      </c>
      <c r="R2783" s="41">
        <v>57</v>
      </c>
      <c r="S2783" t="s">
        <v>3321</v>
      </c>
      <c r="AH2783" t="s">
        <v>359</v>
      </c>
    </row>
    <row r="2784" spans="1:34" ht="15.75">
      <c r="A2784" s="29">
        <f t="shared" si="47"/>
        <v>20000</v>
      </c>
      <c r="B2784" s="2">
        <v>750</v>
      </c>
      <c r="C2784" s="2">
        <v>3</v>
      </c>
      <c r="D2784" s="2">
        <v>1817</v>
      </c>
      <c r="E2784">
        <v>9547</v>
      </c>
      <c r="H2784" t="s">
        <v>1541</v>
      </c>
      <c r="I2784" s="1">
        <v>0</v>
      </c>
      <c r="J2784" s="1">
        <v>2000</v>
      </c>
      <c r="K2784" s="1" t="s">
        <v>1549</v>
      </c>
      <c r="L2784" s="43" t="s">
        <v>1934</v>
      </c>
      <c r="M2784" s="41" t="s">
        <v>3620</v>
      </c>
      <c r="O2784" s="41" t="s">
        <v>1935</v>
      </c>
      <c r="P2784" s="41">
        <v>4</v>
      </c>
      <c r="Q2784" s="41">
        <v>12</v>
      </c>
      <c r="R2784" s="41" t="s">
        <v>868</v>
      </c>
      <c r="S2784" t="s">
        <v>1936</v>
      </c>
      <c r="T2784" t="s">
        <v>1937</v>
      </c>
      <c r="V2784" t="s">
        <v>3963</v>
      </c>
      <c r="X2784">
        <v>0.5</v>
      </c>
      <c r="Y2784" t="s">
        <v>1938</v>
      </c>
      <c r="AH2784" t="s">
        <v>359</v>
      </c>
    </row>
    <row r="2785" spans="1:34" ht="15.75">
      <c r="A2785" s="29">
        <f t="shared" si="47"/>
        <v>10</v>
      </c>
      <c r="B2785" s="2">
        <v>750</v>
      </c>
      <c r="C2785" s="2">
        <v>3</v>
      </c>
      <c r="D2785" s="2">
        <v>1817</v>
      </c>
      <c r="E2785">
        <v>9548</v>
      </c>
      <c r="H2785" t="s">
        <v>1541</v>
      </c>
      <c r="I2785" s="1">
        <v>10</v>
      </c>
      <c r="J2785" s="1">
        <v>0</v>
      </c>
      <c r="K2785" s="1" t="s">
        <v>1549</v>
      </c>
      <c r="L2785" s="43" t="s">
        <v>3313</v>
      </c>
      <c r="P2785" s="41">
        <v>21</v>
      </c>
      <c r="Q2785" s="41">
        <v>3</v>
      </c>
      <c r="R2785" s="41">
        <v>74</v>
      </c>
      <c r="S2785" t="s">
        <v>4943</v>
      </c>
      <c r="AH2785" t="s">
        <v>359</v>
      </c>
    </row>
    <row r="2786" spans="1:34" ht="15.75">
      <c r="A2786" s="29">
        <f t="shared" si="47"/>
        <v>2565</v>
      </c>
      <c r="B2786" s="2">
        <v>750</v>
      </c>
      <c r="C2786" s="2">
        <v>3</v>
      </c>
      <c r="D2786" s="2">
        <v>1817</v>
      </c>
      <c r="E2786">
        <v>9549</v>
      </c>
      <c r="H2786" t="s">
        <v>1541</v>
      </c>
      <c r="I2786" s="1">
        <v>2565</v>
      </c>
      <c r="J2786" s="1">
        <v>0</v>
      </c>
      <c r="K2786" s="1" t="s">
        <v>1549</v>
      </c>
      <c r="L2786" s="43" t="s">
        <v>5994</v>
      </c>
      <c r="P2786" s="41">
        <v>4</v>
      </c>
      <c r="Q2786" s="41">
        <v>6</v>
      </c>
      <c r="R2786" s="41">
        <v>70</v>
      </c>
      <c r="S2786" t="s">
        <v>3321</v>
      </c>
      <c r="AH2786" t="s">
        <v>359</v>
      </c>
    </row>
    <row r="2787" spans="1:34" ht="15.75">
      <c r="A2787" s="29" t="e">
        <f t="shared" si="47"/>
        <v>#VALUE!</v>
      </c>
      <c r="B2787" s="2">
        <v>750</v>
      </c>
      <c r="C2787" s="2">
        <v>3</v>
      </c>
      <c r="D2787" s="2">
        <v>1817</v>
      </c>
      <c r="E2787" s="40">
        <v>9550</v>
      </c>
      <c r="F2787" s="40"/>
      <c r="G2787" s="40"/>
      <c r="H2787" s="40" t="s">
        <v>1540</v>
      </c>
      <c r="I2787" s="1" t="s">
        <v>1547</v>
      </c>
      <c r="J2787" s="1">
        <v>0</v>
      </c>
      <c r="K2787" s="1" t="s">
        <v>1549</v>
      </c>
      <c r="L2787" s="43" t="s">
        <v>2695</v>
      </c>
      <c r="P2787" s="41">
        <v>14</v>
      </c>
      <c r="Q2787" s="41">
        <v>8</v>
      </c>
      <c r="R2787" s="41">
        <v>63</v>
      </c>
      <c r="S2787" t="s">
        <v>1547</v>
      </c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 t="s">
        <v>359</v>
      </c>
    </row>
    <row r="2788" spans="1:34" ht="15.75">
      <c r="A2788" s="29">
        <f t="shared" si="47"/>
        <v>11034</v>
      </c>
      <c r="B2788" s="2">
        <v>750</v>
      </c>
      <c r="C2788" s="2">
        <v>3</v>
      </c>
      <c r="D2788" s="2">
        <v>1817</v>
      </c>
      <c r="E2788">
        <v>9551</v>
      </c>
      <c r="H2788" t="s">
        <v>1540</v>
      </c>
      <c r="I2788" s="1">
        <v>11034</v>
      </c>
      <c r="J2788" s="1">
        <v>0</v>
      </c>
      <c r="K2788" s="1" t="s">
        <v>1549</v>
      </c>
      <c r="L2788" s="43" t="s">
        <v>5844</v>
      </c>
      <c r="P2788" s="41">
        <v>18</v>
      </c>
      <c r="Q2788" s="41">
        <v>12</v>
      </c>
      <c r="R2788" s="41">
        <v>69</v>
      </c>
      <c r="S2788" t="s">
        <v>1547</v>
      </c>
      <c r="AH2788" t="s">
        <v>359</v>
      </c>
    </row>
    <row r="2789" spans="1:34" ht="15.75">
      <c r="A2789" s="29">
        <f t="shared" si="47"/>
        <v>10030</v>
      </c>
      <c r="B2789" s="2">
        <v>751</v>
      </c>
      <c r="C2789" s="2">
        <v>3</v>
      </c>
      <c r="D2789" s="2">
        <v>1817</v>
      </c>
      <c r="E2789">
        <v>9552</v>
      </c>
      <c r="G2789" s="1"/>
      <c r="H2789" t="s">
        <v>1541</v>
      </c>
      <c r="I2789" s="2">
        <v>10030</v>
      </c>
      <c r="J2789" s="2">
        <v>0</v>
      </c>
      <c r="K2789" s="2" t="s">
        <v>1277</v>
      </c>
      <c r="L2789" s="43" t="s">
        <v>3323</v>
      </c>
      <c r="P2789" s="41">
        <v>27</v>
      </c>
      <c r="Q2789" s="41">
        <v>8</v>
      </c>
      <c r="R2789" s="41">
        <v>81</v>
      </c>
      <c r="S2789" t="s">
        <v>3329</v>
      </c>
      <c r="AH2789" t="s">
        <v>359</v>
      </c>
    </row>
    <row r="2790" spans="1:34" ht="15.75">
      <c r="A2790" s="29">
        <f t="shared" si="47"/>
        <v>2871</v>
      </c>
      <c r="B2790" s="2">
        <v>751</v>
      </c>
      <c r="C2790" s="2">
        <v>3</v>
      </c>
      <c r="D2790" s="2">
        <v>1817</v>
      </c>
      <c r="E2790">
        <v>9553</v>
      </c>
      <c r="G2790" s="1"/>
      <c r="H2790" t="s">
        <v>1541</v>
      </c>
      <c r="I2790" s="2">
        <f>1089+1782</f>
        <v>2871</v>
      </c>
      <c r="J2790" s="2">
        <v>0</v>
      </c>
      <c r="K2790" s="2" t="s">
        <v>1277</v>
      </c>
      <c r="L2790" s="43" t="s">
        <v>5010</v>
      </c>
      <c r="P2790" s="41">
        <v>24</v>
      </c>
      <c r="Q2790" s="41">
        <v>4</v>
      </c>
      <c r="R2790" s="41">
        <v>56</v>
      </c>
      <c r="S2790" t="s">
        <v>3343</v>
      </c>
      <c r="AH2790" t="s">
        <v>359</v>
      </c>
    </row>
    <row r="2791" spans="1:34" ht="15.75">
      <c r="A2791" s="29">
        <f t="shared" si="47"/>
        <v>330</v>
      </c>
      <c r="B2791" s="2">
        <v>751</v>
      </c>
      <c r="C2791" s="2">
        <v>3</v>
      </c>
      <c r="D2791" s="2">
        <v>1817</v>
      </c>
      <c r="E2791">
        <v>9554</v>
      </c>
      <c r="G2791" s="1"/>
      <c r="H2791" t="s">
        <v>1540</v>
      </c>
      <c r="I2791" s="2">
        <v>330</v>
      </c>
      <c r="J2791" s="2">
        <v>0</v>
      </c>
      <c r="K2791" s="2" t="s">
        <v>1277</v>
      </c>
      <c r="L2791" s="43" t="s">
        <v>2292</v>
      </c>
      <c r="P2791" s="41">
        <v>2</v>
      </c>
      <c r="Q2791" s="41">
        <v>11</v>
      </c>
      <c r="R2791" s="41">
        <v>60</v>
      </c>
      <c r="S2791" t="s">
        <v>3321</v>
      </c>
      <c r="AH2791" t="s">
        <v>359</v>
      </c>
    </row>
    <row r="2792" spans="1:34" ht="15.75">
      <c r="A2792" s="29">
        <f t="shared" si="47"/>
        <v>450</v>
      </c>
      <c r="B2792" s="2">
        <v>751</v>
      </c>
      <c r="C2792" s="2">
        <v>3</v>
      </c>
      <c r="D2792" s="2">
        <v>1817</v>
      </c>
      <c r="E2792">
        <v>9555</v>
      </c>
      <c r="G2792" s="1"/>
      <c r="H2792" t="s">
        <v>1540</v>
      </c>
      <c r="I2792" s="2">
        <v>450</v>
      </c>
      <c r="J2792" s="2">
        <v>0</v>
      </c>
      <c r="K2792" s="2" t="s">
        <v>1277</v>
      </c>
      <c r="L2792" s="43" t="s">
        <v>373</v>
      </c>
      <c r="P2792" s="41">
        <v>10</v>
      </c>
      <c r="Q2792" s="41">
        <v>6</v>
      </c>
      <c r="R2792" s="41">
        <v>54</v>
      </c>
      <c r="S2792" t="s">
        <v>3321</v>
      </c>
      <c r="AH2792" t="s">
        <v>359</v>
      </c>
    </row>
    <row r="2793" spans="1:34" ht="15.75">
      <c r="A2793" s="29">
        <f t="shared" si="47"/>
        <v>2092</v>
      </c>
      <c r="B2793" s="2">
        <v>752</v>
      </c>
      <c r="C2793" s="2">
        <v>3</v>
      </c>
      <c r="D2793" s="2">
        <v>1817</v>
      </c>
      <c r="E2793">
        <v>9556</v>
      </c>
      <c r="G2793" s="1"/>
      <c r="H2793" t="s">
        <v>1541</v>
      </c>
      <c r="I2793" s="2">
        <v>2092</v>
      </c>
      <c r="J2793" s="2">
        <v>0</v>
      </c>
      <c r="K2793" s="2" t="s">
        <v>1277</v>
      </c>
      <c r="L2793" s="43" t="s">
        <v>3330</v>
      </c>
      <c r="P2793" s="41">
        <v>18</v>
      </c>
      <c r="Q2793" s="41">
        <v>11</v>
      </c>
      <c r="R2793" s="41">
        <v>50</v>
      </c>
      <c r="S2793" t="s">
        <v>3321</v>
      </c>
      <c r="AH2793" t="s">
        <v>359</v>
      </c>
    </row>
    <row r="2794" spans="1:34" ht="15.75">
      <c r="A2794" s="29">
        <f t="shared" si="47"/>
        <v>211</v>
      </c>
      <c r="B2794" s="2">
        <v>752</v>
      </c>
      <c r="C2794" s="2">
        <v>3</v>
      </c>
      <c r="D2794" s="2">
        <v>1817</v>
      </c>
      <c r="E2794">
        <v>9557</v>
      </c>
      <c r="G2794" s="1"/>
      <c r="H2794" t="s">
        <v>1540</v>
      </c>
      <c r="I2794" s="2">
        <v>211</v>
      </c>
      <c r="J2794" s="2">
        <v>0</v>
      </c>
      <c r="K2794" s="2" t="s">
        <v>1277</v>
      </c>
      <c r="L2794" s="43" t="s">
        <v>2688</v>
      </c>
      <c r="P2794" s="41">
        <v>15</v>
      </c>
      <c r="Q2794" s="41">
        <v>10</v>
      </c>
      <c r="R2794" s="41" t="s">
        <v>868</v>
      </c>
      <c r="S2794" t="s">
        <v>3321</v>
      </c>
      <c r="AH2794" t="s">
        <v>359</v>
      </c>
    </row>
    <row r="2795" spans="1:34" ht="15.75">
      <c r="A2795" s="29">
        <f t="shared" si="47"/>
        <v>307</v>
      </c>
      <c r="B2795" s="2">
        <v>752</v>
      </c>
      <c r="C2795" s="2">
        <v>3</v>
      </c>
      <c r="D2795" s="2">
        <v>1817</v>
      </c>
      <c r="E2795">
        <v>9558</v>
      </c>
      <c r="G2795" s="1"/>
      <c r="H2795" t="s">
        <v>1549</v>
      </c>
      <c r="I2795" s="2">
        <v>307</v>
      </c>
      <c r="J2795" s="2">
        <v>0</v>
      </c>
      <c r="K2795" s="2" t="s">
        <v>1277</v>
      </c>
      <c r="L2795" s="43" t="s">
        <v>3331</v>
      </c>
      <c r="P2795" s="41">
        <v>6</v>
      </c>
      <c r="Q2795" s="41">
        <v>6</v>
      </c>
      <c r="R2795" s="41" t="s">
        <v>3347</v>
      </c>
      <c r="S2795" t="s">
        <v>3343</v>
      </c>
      <c r="AH2795" t="s">
        <v>359</v>
      </c>
    </row>
    <row r="2796" spans="1:34" ht="15.75">
      <c r="A2796" s="29">
        <f t="shared" si="47"/>
        <v>44714</v>
      </c>
      <c r="B2796" s="8">
        <v>752</v>
      </c>
      <c r="C2796" s="2">
        <v>3</v>
      </c>
      <c r="D2796" s="8">
        <v>1817</v>
      </c>
      <c r="E2796">
        <v>9559</v>
      </c>
      <c r="F2796" s="9"/>
      <c r="G2796" s="7"/>
      <c r="H2796" s="9" t="s">
        <v>1540</v>
      </c>
      <c r="I2796" s="8">
        <v>714</v>
      </c>
      <c r="J2796" s="8">
        <f>1000+1200</f>
        <v>2200</v>
      </c>
      <c r="K2796" s="2" t="s">
        <v>1277</v>
      </c>
      <c r="L2796" s="43" t="s">
        <v>1950</v>
      </c>
      <c r="M2796" s="41" t="s">
        <v>854</v>
      </c>
      <c r="N2796" s="41" t="s">
        <v>5370</v>
      </c>
      <c r="O2796" s="41" t="s">
        <v>1951</v>
      </c>
      <c r="P2796" s="41">
        <v>9</v>
      </c>
      <c r="Q2796" s="41">
        <v>5</v>
      </c>
      <c r="S2796" t="s">
        <v>1952</v>
      </c>
      <c r="T2796" t="s">
        <v>1765</v>
      </c>
      <c r="V2796" t="s">
        <v>1234</v>
      </c>
      <c r="X2796">
        <v>1</v>
      </c>
      <c r="Y2796" t="s">
        <v>1953</v>
      </c>
      <c r="AH2796" t="s">
        <v>359</v>
      </c>
    </row>
    <row r="2797" spans="1:34" ht="15.75">
      <c r="A2797" s="29">
        <f t="shared" si="47"/>
        <v>40</v>
      </c>
      <c r="B2797" s="8">
        <v>752</v>
      </c>
      <c r="C2797" s="2">
        <v>3</v>
      </c>
      <c r="D2797" s="8">
        <v>1817</v>
      </c>
      <c r="E2797">
        <v>9560</v>
      </c>
      <c r="F2797" s="9"/>
      <c r="G2797" s="7"/>
      <c r="H2797" s="9" t="s">
        <v>1541</v>
      </c>
      <c r="I2797" s="8">
        <v>40</v>
      </c>
      <c r="J2797" s="8">
        <v>0</v>
      </c>
      <c r="K2797" s="2" t="s">
        <v>1277</v>
      </c>
      <c r="L2797" s="43" t="s">
        <v>2710</v>
      </c>
      <c r="P2797" s="41">
        <v>29</v>
      </c>
      <c r="Q2797" s="41">
        <v>9</v>
      </c>
      <c r="R2797" s="41">
        <v>67</v>
      </c>
      <c r="S2797" t="s">
        <v>3329</v>
      </c>
      <c r="AH2797" t="s">
        <v>359</v>
      </c>
    </row>
    <row r="2798" spans="1:34" ht="15.75">
      <c r="A2798" s="29">
        <f t="shared" si="47"/>
        <v>25384</v>
      </c>
      <c r="B2798" s="8">
        <v>752</v>
      </c>
      <c r="C2798" s="2">
        <v>3</v>
      </c>
      <c r="D2798" s="8">
        <v>1817</v>
      </c>
      <c r="E2798">
        <v>9561</v>
      </c>
      <c r="F2798" s="9"/>
      <c r="G2798" s="7"/>
      <c r="H2798" s="9" t="s">
        <v>1541</v>
      </c>
      <c r="I2798" s="8">
        <v>5384</v>
      </c>
      <c r="J2798" s="8">
        <v>2000</v>
      </c>
      <c r="K2798" s="2" t="s">
        <v>1277</v>
      </c>
      <c r="L2798" s="43" t="s">
        <v>1954</v>
      </c>
      <c r="M2798" s="41" t="s">
        <v>4935</v>
      </c>
      <c r="O2798" s="41" t="s">
        <v>1955</v>
      </c>
      <c r="P2798" s="41">
        <v>2</v>
      </c>
      <c r="Q2798" s="41">
        <v>12</v>
      </c>
      <c r="R2798" s="41">
        <v>42</v>
      </c>
      <c r="S2798" t="s">
        <v>1956</v>
      </c>
      <c r="T2798" t="s">
        <v>1957</v>
      </c>
      <c r="V2798" t="s">
        <v>1214</v>
      </c>
      <c r="X2798">
        <v>0.5</v>
      </c>
      <c r="Y2798" t="s">
        <v>1958</v>
      </c>
      <c r="AH2798" t="s">
        <v>359</v>
      </c>
    </row>
    <row r="2799" spans="1:34" ht="15.75">
      <c r="A2799" s="29">
        <f t="shared" si="47"/>
        <v>450</v>
      </c>
      <c r="B2799" s="8">
        <v>752</v>
      </c>
      <c r="C2799" s="2">
        <v>3</v>
      </c>
      <c r="D2799" s="8">
        <v>1817</v>
      </c>
      <c r="E2799">
        <v>9562</v>
      </c>
      <c r="F2799" s="9"/>
      <c r="G2799" s="7"/>
      <c r="H2799" s="9" t="s">
        <v>1540</v>
      </c>
      <c r="I2799" s="8">
        <v>450</v>
      </c>
      <c r="J2799" s="8">
        <v>0</v>
      </c>
      <c r="K2799" s="2" t="s">
        <v>1277</v>
      </c>
      <c r="L2799" s="43" t="s">
        <v>1959</v>
      </c>
      <c r="P2799" s="41">
        <v>10</v>
      </c>
      <c r="Q2799" s="41">
        <v>6</v>
      </c>
      <c r="R2799" s="41" t="s">
        <v>868</v>
      </c>
      <c r="S2799" t="s">
        <v>3321</v>
      </c>
      <c r="AH2799" t="s">
        <v>359</v>
      </c>
    </row>
    <row r="2800" spans="1:34" ht="15.75">
      <c r="A2800" s="29">
        <f t="shared" si="47"/>
        <v>50962</v>
      </c>
      <c r="B2800" s="8">
        <v>751</v>
      </c>
      <c r="C2800" s="2">
        <v>3</v>
      </c>
      <c r="D2800" s="8">
        <v>1817</v>
      </c>
      <c r="E2800">
        <v>9563</v>
      </c>
      <c r="F2800" s="9"/>
      <c r="G2800" s="7"/>
      <c r="H2800" s="9" t="s">
        <v>1540</v>
      </c>
      <c r="I2800" s="8">
        <f>9000+6000+2362</f>
        <v>17362</v>
      </c>
      <c r="J2800" s="8">
        <v>1680</v>
      </c>
      <c r="K2800" s="2" t="s">
        <v>1277</v>
      </c>
      <c r="L2800" s="43" t="s">
        <v>1943</v>
      </c>
      <c r="M2800" s="41" t="s">
        <v>1944</v>
      </c>
      <c r="N2800" s="41" t="s">
        <v>1945</v>
      </c>
      <c r="O2800" s="41" t="s">
        <v>1946</v>
      </c>
      <c r="P2800" s="41">
        <v>17</v>
      </c>
      <c r="Q2800" s="41">
        <v>3</v>
      </c>
      <c r="R2800" s="41">
        <v>79</v>
      </c>
      <c r="S2800" t="s">
        <v>1947</v>
      </c>
      <c r="T2800" t="s">
        <v>1948</v>
      </c>
      <c r="V2800" t="s">
        <v>1435</v>
      </c>
      <c r="X2800">
        <v>1</v>
      </c>
      <c r="Y2800" t="s">
        <v>1946</v>
      </c>
      <c r="AA2800" t="s">
        <v>1949</v>
      </c>
      <c r="AH2800" t="s">
        <v>359</v>
      </c>
    </row>
    <row r="2801" spans="1:34" ht="15.75">
      <c r="A2801" s="29">
        <f t="shared" si="47"/>
        <v>4038</v>
      </c>
      <c r="B2801" s="2">
        <v>752</v>
      </c>
      <c r="C2801" s="2">
        <v>3</v>
      </c>
      <c r="D2801" s="2">
        <v>1817</v>
      </c>
      <c r="E2801">
        <v>9565</v>
      </c>
      <c r="G2801" s="1"/>
      <c r="H2801" t="s">
        <v>1540</v>
      </c>
      <c r="I2801" s="2">
        <f>38+4000</f>
        <v>4038</v>
      </c>
      <c r="J2801" s="2">
        <v>0</v>
      </c>
      <c r="K2801" s="2" t="s">
        <v>1277</v>
      </c>
      <c r="L2801" s="43" t="s">
        <v>3338</v>
      </c>
      <c r="P2801" s="41">
        <v>1</v>
      </c>
      <c r="Q2801" s="41">
        <v>5</v>
      </c>
      <c r="R2801" s="41">
        <v>39</v>
      </c>
      <c r="S2801" t="s">
        <v>3343</v>
      </c>
      <c r="AH2801" t="s">
        <v>359</v>
      </c>
    </row>
    <row r="2802" spans="1:34" ht="15.75">
      <c r="A2802" s="29">
        <f t="shared" si="47"/>
        <v>1075</v>
      </c>
      <c r="B2802" s="2">
        <v>752</v>
      </c>
      <c r="C2802" s="2">
        <v>3</v>
      </c>
      <c r="D2802" s="2">
        <v>1817</v>
      </c>
      <c r="E2802">
        <v>9566</v>
      </c>
      <c r="G2802" s="1"/>
      <c r="H2802" t="s">
        <v>1540</v>
      </c>
      <c r="I2802" s="2">
        <v>1075</v>
      </c>
      <c r="J2802" s="2">
        <v>0</v>
      </c>
      <c r="K2802" s="2" t="s">
        <v>1277</v>
      </c>
      <c r="L2802" s="43" t="s">
        <v>3338</v>
      </c>
      <c r="P2802" s="41">
        <v>13</v>
      </c>
      <c r="Q2802" s="41">
        <v>9</v>
      </c>
      <c r="R2802" s="41">
        <v>56</v>
      </c>
      <c r="S2802" t="s">
        <v>3321</v>
      </c>
      <c r="AH2802" t="s">
        <v>359</v>
      </c>
    </row>
    <row r="2803" spans="1:34" ht="15.75">
      <c r="A2803" s="29">
        <f t="shared" si="47"/>
        <v>9</v>
      </c>
      <c r="B2803" s="2">
        <v>752</v>
      </c>
      <c r="C2803" s="2">
        <v>3</v>
      </c>
      <c r="D2803" s="2">
        <v>1817</v>
      </c>
      <c r="E2803">
        <v>9567</v>
      </c>
      <c r="G2803" s="1"/>
      <c r="H2803" t="s">
        <v>1540</v>
      </c>
      <c r="I2803" s="2">
        <v>9</v>
      </c>
      <c r="J2803" s="2">
        <v>0</v>
      </c>
      <c r="K2803" s="2" t="s">
        <v>1277</v>
      </c>
      <c r="L2803" s="43" t="s">
        <v>3338</v>
      </c>
      <c r="P2803" s="41">
        <v>9</v>
      </c>
      <c r="Q2803" s="41">
        <v>4</v>
      </c>
      <c r="R2803" s="41">
        <v>70</v>
      </c>
      <c r="S2803" t="s">
        <v>3321</v>
      </c>
      <c r="AH2803" t="s">
        <v>359</v>
      </c>
    </row>
    <row r="2804" spans="1:34" ht="15.75">
      <c r="A2804" s="29">
        <f t="shared" si="47"/>
        <v>5644</v>
      </c>
      <c r="B2804" s="2">
        <v>753</v>
      </c>
      <c r="C2804" s="2">
        <v>3</v>
      </c>
      <c r="D2804" s="2">
        <v>1817</v>
      </c>
      <c r="E2804">
        <v>9568</v>
      </c>
      <c r="G2804" s="1"/>
      <c r="H2804" t="s">
        <v>1540</v>
      </c>
      <c r="I2804" s="2">
        <v>5644</v>
      </c>
      <c r="J2804" s="2">
        <v>0</v>
      </c>
      <c r="K2804" s="2" t="s">
        <v>866</v>
      </c>
      <c r="L2804" s="43" t="s">
        <v>1965</v>
      </c>
      <c r="P2804" s="41">
        <v>19</v>
      </c>
      <c r="Q2804" s="41">
        <v>12</v>
      </c>
      <c r="R2804" s="41" t="s">
        <v>868</v>
      </c>
      <c r="S2804" t="s">
        <v>3321</v>
      </c>
      <c r="AH2804" t="s">
        <v>359</v>
      </c>
    </row>
    <row r="2805" spans="1:34" ht="15.75">
      <c r="A2805" s="29">
        <f t="shared" si="47"/>
        <v>356</v>
      </c>
      <c r="B2805" s="2">
        <v>753</v>
      </c>
      <c r="C2805" s="2">
        <v>3</v>
      </c>
      <c r="D2805" s="2">
        <v>1817</v>
      </c>
      <c r="E2805">
        <v>9569</v>
      </c>
      <c r="G2805" s="1"/>
      <c r="H2805" t="s">
        <v>1541</v>
      </c>
      <c r="I2805" s="2">
        <v>356</v>
      </c>
      <c r="J2805" s="2">
        <v>0</v>
      </c>
      <c r="K2805" s="2" t="s">
        <v>866</v>
      </c>
      <c r="L2805" s="43" t="s">
        <v>1966</v>
      </c>
      <c r="P2805" s="41">
        <v>14</v>
      </c>
      <c r="Q2805" s="41">
        <v>4</v>
      </c>
      <c r="R2805" s="41">
        <v>81</v>
      </c>
      <c r="S2805" t="s">
        <v>1547</v>
      </c>
      <c r="AH2805" t="s">
        <v>359</v>
      </c>
    </row>
    <row r="2806" spans="1:34" ht="15.75">
      <c r="A2806" s="29">
        <f t="shared" si="47"/>
        <v>380</v>
      </c>
      <c r="B2806" s="2">
        <v>753</v>
      </c>
      <c r="C2806" s="2">
        <v>3</v>
      </c>
      <c r="D2806" s="2">
        <v>1817</v>
      </c>
      <c r="E2806">
        <v>9570</v>
      </c>
      <c r="G2806" s="1"/>
      <c r="H2806" t="s">
        <v>1541</v>
      </c>
      <c r="I2806" s="2">
        <v>380</v>
      </c>
      <c r="J2806" s="2">
        <v>0</v>
      </c>
      <c r="K2806" s="2" t="s">
        <v>866</v>
      </c>
      <c r="L2806" s="43" t="s">
        <v>972</v>
      </c>
      <c r="P2806" s="41">
        <v>30</v>
      </c>
      <c r="Q2806" s="41">
        <v>6</v>
      </c>
      <c r="R2806" s="41">
        <v>30</v>
      </c>
      <c r="S2806" t="s">
        <v>1547</v>
      </c>
      <c r="AH2806" t="s">
        <v>359</v>
      </c>
    </row>
    <row r="2807" spans="1:34" ht="15.75">
      <c r="A2807" s="29">
        <f t="shared" si="47"/>
        <v>71</v>
      </c>
      <c r="B2807" s="2">
        <v>753</v>
      </c>
      <c r="C2807" s="2">
        <v>3</v>
      </c>
      <c r="D2807" s="2">
        <v>1817</v>
      </c>
      <c r="E2807">
        <v>9571</v>
      </c>
      <c r="G2807" s="1"/>
      <c r="H2807" t="s">
        <v>1540</v>
      </c>
      <c r="I2807" s="2">
        <v>71</v>
      </c>
      <c r="J2807" s="2">
        <v>0</v>
      </c>
      <c r="K2807" s="2" t="s">
        <v>866</v>
      </c>
      <c r="L2807" s="43" t="s">
        <v>972</v>
      </c>
      <c r="P2807" s="41">
        <v>17</v>
      </c>
      <c r="Q2807" s="41">
        <v>9</v>
      </c>
      <c r="R2807" s="41">
        <v>81</v>
      </c>
      <c r="S2807" t="s">
        <v>3321</v>
      </c>
      <c r="AH2807" t="s">
        <v>359</v>
      </c>
    </row>
    <row r="2808" spans="1:34" ht="15.75">
      <c r="A2808" s="29">
        <f t="shared" si="47"/>
        <v>2759</v>
      </c>
      <c r="B2808" s="2">
        <v>753</v>
      </c>
      <c r="C2808" s="2">
        <v>3</v>
      </c>
      <c r="D2808" s="2">
        <v>1817</v>
      </c>
      <c r="E2808">
        <v>9572</v>
      </c>
      <c r="G2808" s="1"/>
      <c r="H2808" t="s">
        <v>1541</v>
      </c>
      <c r="I2808" s="2">
        <v>2759</v>
      </c>
      <c r="J2808" s="2">
        <v>0</v>
      </c>
      <c r="K2808" s="2" t="s">
        <v>866</v>
      </c>
      <c r="L2808" s="43" t="s">
        <v>5760</v>
      </c>
      <c r="P2808" s="41">
        <v>26</v>
      </c>
      <c r="Q2808" s="41">
        <v>12</v>
      </c>
      <c r="R2808" s="41">
        <v>31</v>
      </c>
      <c r="S2808" t="s">
        <v>3321</v>
      </c>
      <c r="AH2808" t="s">
        <v>359</v>
      </c>
    </row>
    <row r="2809" spans="1:34" ht="15.75">
      <c r="A2809" s="29">
        <f t="shared" si="47"/>
        <v>30531</v>
      </c>
      <c r="B2809" s="8">
        <v>753</v>
      </c>
      <c r="C2809" s="2">
        <v>3</v>
      </c>
      <c r="D2809" s="8">
        <v>1817</v>
      </c>
      <c r="E2809">
        <v>9573</v>
      </c>
      <c r="F2809" s="9"/>
      <c r="G2809" s="7"/>
      <c r="H2809" s="9" t="s">
        <v>1541</v>
      </c>
      <c r="I2809" s="8">
        <v>4531</v>
      </c>
      <c r="J2809" s="8">
        <v>1300</v>
      </c>
      <c r="K2809" s="2" t="s">
        <v>866</v>
      </c>
      <c r="L2809" s="43" t="s">
        <v>1967</v>
      </c>
      <c r="M2809" s="41" t="s">
        <v>1968</v>
      </c>
      <c r="N2809" s="41" t="s">
        <v>1545</v>
      </c>
      <c r="O2809" s="41" t="s">
        <v>1969</v>
      </c>
      <c r="P2809" s="41">
        <v>5</v>
      </c>
      <c r="Q2809" s="41">
        <v>1</v>
      </c>
      <c r="R2809" s="41">
        <v>45</v>
      </c>
      <c r="S2809" s="11" t="s">
        <v>1970</v>
      </c>
      <c r="T2809" s="11" t="s">
        <v>1971</v>
      </c>
      <c r="U2809" s="11"/>
      <c r="V2809" s="11" t="s">
        <v>4596</v>
      </c>
      <c r="W2809" s="11"/>
      <c r="X2809" s="48">
        <v>1</v>
      </c>
      <c r="Y2809" s="11"/>
      <c r="Z2809" s="11" t="s">
        <v>1972</v>
      </c>
      <c r="AA2809" s="11"/>
      <c r="AB2809" s="11"/>
      <c r="AC2809" s="11"/>
      <c r="AD2809" s="11"/>
      <c r="AH2809" t="s">
        <v>359</v>
      </c>
    </row>
    <row r="2810" spans="1:34" ht="15.75">
      <c r="A2810" s="29">
        <f t="shared" si="47"/>
        <v>20763</v>
      </c>
      <c r="B2810" s="8">
        <v>753</v>
      </c>
      <c r="C2810" s="2">
        <v>3</v>
      </c>
      <c r="D2810" s="8">
        <v>1817</v>
      </c>
      <c r="E2810">
        <v>9574</v>
      </c>
      <c r="F2810" s="9"/>
      <c r="G2810" s="7"/>
      <c r="H2810" s="9" t="s">
        <v>1540</v>
      </c>
      <c r="I2810" s="8">
        <f>12763+8000</f>
        <v>20763</v>
      </c>
      <c r="J2810" s="8">
        <v>0</v>
      </c>
      <c r="K2810" s="2" t="s">
        <v>866</v>
      </c>
      <c r="L2810" s="43" t="s">
        <v>1973</v>
      </c>
      <c r="M2810" s="41" t="s">
        <v>1974</v>
      </c>
      <c r="N2810" s="41" t="s">
        <v>1975</v>
      </c>
      <c r="O2810" s="41" t="s">
        <v>1976</v>
      </c>
      <c r="P2810" s="41">
        <v>19</v>
      </c>
      <c r="Q2810" s="41">
        <v>12</v>
      </c>
      <c r="R2810" s="41">
        <v>68</v>
      </c>
      <c r="S2810" s="11" t="s">
        <v>1977</v>
      </c>
      <c r="T2810" s="11" t="s">
        <v>1978</v>
      </c>
      <c r="U2810" s="11"/>
      <c r="V2810" s="11" t="s">
        <v>2922</v>
      </c>
      <c r="W2810" s="11"/>
      <c r="AH2810" t="s">
        <v>359</v>
      </c>
    </row>
    <row r="2811" spans="1:34" ht="15.75">
      <c r="A2811" s="29">
        <f t="shared" si="47"/>
        <v>2676</v>
      </c>
      <c r="B2811" s="2">
        <v>753</v>
      </c>
      <c r="C2811" s="2">
        <v>3</v>
      </c>
      <c r="D2811" s="2">
        <v>1817</v>
      </c>
      <c r="E2811">
        <v>9575</v>
      </c>
      <c r="G2811" s="1"/>
      <c r="H2811" t="s">
        <v>1540</v>
      </c>
      <c r="I2811" s="2">
        <v>2676</v>
      </c>
      <c r="J2811" s="2">
        <v>0</v>
      </c>
      <c r="K2811" s="2" t="s">
        <v>866</v>
      </c>
      <c r="L2811" s="43" t="s">
        <v>5237</v>
      </c>
      <c r="P2811" s="41">
        <v>15</v>
      </c>
      <c r="Q2811" s="41">
        <v>10</v>
      </c>
      <c r="R2811" s="41">
        <v>35</v>
      </c>
      <c r="S2811" t="s">
        <v>3321</v>
      </c>
      <c r="AH2811" t="s">
        <v>359</v>
      </c>
    </row>
    <row r="2812" spans="1:34" ht="15.75">
      <c r="A2812" s="29">
        <f t="shared" si="47"/>
        <v>7724</v>
      </c>
      <c r="B2812" s="2">
        <v>753</v>
      </c>
      <c r="C2812" s="2">
        <v>3</v>
      </c>
      <c r="D2812" s="2">
        <v>1817</v>
      </c>
      <c r="E2812">
        <v>9576</v>
      </c>
      <c r="G2812" s="1"/>
      <c r="H2812" t="s">
        <v>1540</v>
      </c>
      <c r="I2812" s="2">
        <f>184+7540</f>
        <v>7724</v>
      </c>
      <c r="J2812" s="2">
        <v>0</v>
      </c>
      <c r="K2812" s="2" t="s">
        <v>866</v>
      </c>
      <c r="L2812" s="43" t="s">
        <v>5238</v>
      </c>
      <c r="P2812" s="41">
        <v>27</v>
      </c>
      <c r="Q2812" s="41">
        <v>3</v>
      </c>
      <c r="R2812" s="41">
        <v>66</v>
      </c>
      <c r="S2812" t="s">
        <v>3321</v>
      </c>
      <c r="AH2812" t="s">
        <v>359</v>
      </c>
    </row>
    <row r="2813" spans="1:34" ht="15.75">
      <c r="A2813" s="29">
        <f t="shared" si="47"/>
        <v>50</v>
      </c>
      <c r="B2813" s="2">
        <v>753</v>
      </c>
      <c r="C2813" s="2">
        <v>3</v>
      </c>
      <c r="D2813" s="2">
        <v>1817</v>
      </c>
      <c r="E2813">
        <v>9577</v>
      </c>
      <c r="G2813" s="1"/>
      <c r="H2813" t="s">
        <v>1541</v>
      </c>
      <c r="I2813" s="2">
        <v>50</v>
      </c>
      <c r="J2813" s="2">
        <v>0</v>
      </c>
      <c r="K2813" s="2" t="s">
        <v>866</v>
      </c>
      <c r="L2813" s="43" t="s">
        <v>5238</v>
      </c>
      <c r="P2813" s="41">
        <v>26</v>
      </c>
      <c r="Q2813" s="41">
        <v>4</v>
      </c>
      <c r="R2813" s="41" t="s">
        <v>868</v>
      </c>
      <c r="S2813" t="s">
        <v>1547</v>
      </c>
      <c r="AH2813" t="s">
        <v>359</v>
      </c>
    </row>
    <row r="2814" spans="1:34" ht="15.75">
      <c r="A2814" s="29">
        <f t="shared" si="47"/>
        <v>1156</v>
      </c>
      <c r="B2814" s="2">
        <v>753</v>
      </c>
      <c r="C2814" s="2">
        <v>3</v>
      </c>
      <c r="D2814" s="2">
        <v>1817</v>
      </c>
      <c r="E2814">
        <v>9578</v>
      </c>
      <c r="G2814" s="1"/>
      <c r="H2814" t="s">
        <v>1540</v>
      </c>
      <c r="I2814" s="2">
        <v>1156</v>
      </c>
      <c r="J2814" s="2">
        <v>0</v>
      </c>
      <c r="K2814" s="2" t="s">
        <v>866</v>
      </c>
      <c r="L2814" s="43" t="s">
        <v>5239</v>
      </c>
      <c r="P2814" s="41">
        <v>24</v>
      </c>
      <c r="Q2814" s="41">
        <v>5</v>
      </c>
      <c r="R2814" s="41">
        <v>50</v>
      </c>
      <c r="S2814" t="s">
        <v>3321</v>
      </c>
      <c r="AH2814" t="s">
        <v>359</v>
      </c>
    </row>
    <row r="2815" spans="1:34" ht="15.75">
      <c r="A2815" s="29">
        <f t="shared" si="47"/>
        <v>2312</v>
      </c>
      <c r="B2815" s="2">
        <v>754</v>
      </c>
      <c r="C2815" s="2">
        <v>3</v>
      </c>
      <c r="D2815" s="2">
        <v>1817</v>
      </c>
      <c r="E2815">
        <v>9579</v>
      </c>
      <c r="G2815" s="1"/>
      <c r="H2815" t="s">
        <v>1540</v>
      </c>
      <c r="I2815" s="2">
        <v>2312</v>
      </c>
      <c r="J2815" s="2">
        <v>0</v>
      </c>
      <c r="K2815" s="2" t="s">
        <v>866</v>
      </c>
      <c r="L2815" s="43" t="s">
        <v>5241</v>
      </c>
      <c r="P2815" s="41">
        <v>12</v>
      </c>
      <c r="Q2815" s="41">
        <v>6</v>
      </c>
      <c r="R2815" s="41">
        <v>31</v>
      </c>
      <c r="S2815" t="s">
        <v>3321</v>
      </c>
      <c r="AH2815" t="s">
        <v>359</v>
      </c>
    </row>
    <row r="2816" spans="1:34" ht="15.75">
      <c r="A2816" s="29">
        <f t="shared" si="47"/>
        <v>667</v>
      </c>
      <c r="B2816" s="2">
        <v>754</v>
      </c>
      <c r="C2816" s="2">
        <v>3</v>
      </c>
      <c r="D2816" s="2">
        <v>1817</v>
      </c>
      <c r="E2816">
        <v>9580</v>
      </c>
      <c r="G2816" s="1"/>
      <c r="H2816" t="s">
        <v>1540</v>
      </c>
      <c r="I2816" s="2">
        <v>667</v>
      </c>
      <c r="J2816" s="2">
        <v>0</v>
      </c>
      <c r="K2816" s="2" t="s">
        <v>866</v>
      </c>
      <c r="L2816" s="43" t="s">
        <v>5242</v>
      </c>
      <c r="P2816" s="41">
        <v>9</v>
      </c>
      <c r="Q2816" s="41">
        <v>9</v>
      </c>
      <c r="R2816" s="41">
        <v>68</v>
      </c>
      <c r="S2816" t="s">
        <v>3321</v>
      </c>
      <c r="AH2816" t="s">
        <v>359</v>
      </c>
    </row>
    <row r="2817" spans="1:34" ht="15.75">
      <c r="A2817" s="29">
        <f t="shared" si="47"/>
        <v>9717</v>
      </c>
      <c r="B2817" s="2">
        <v>754</v>
      </c>
      <c r="C2817" s="2">
        <v>3</v>
      </c>
      <c r="D2817" s="2">
        <v>1817</v>
      </c>
      <c r="E2817">
        <v>9581</v>
      </c>
      <c r="G2817" s="1"/>
      <c r="H2817" t="s">
        <v>1549</v>
      </c>
      <c r="I2817" s="2">
        <v>9717</v>
      </c>
      <c r="J2817" s="2">
        <v>0</v>
      </c>
      <c r="K2817" s="2" t="s">
        <v>866</v>
      </c>
      <c r="L2817" s="43" t="s">
        <v>5242</v>
      </c>
      <c r="P2817" s="41">
        <v>12</v>
      </c>
      <c r="Q2817" s="41">
        <v>5</v>
      </c>
      <c r="R2817" s="41">
        <v>56</v>
      </c>
      <c r="S2817" t="s">
        <v>3321</v>
      </c>
      <c r="AH2817" t="s">
        <v>359</v>
      </c>
    </row>
    <row r="2818" spans="1:34" ht="15.75">
      <c r="A2818" s="29">
        <f t="shared" si="47"/>
        <v>1668</v>
      </c>
      <c r="B2818" s="2">
        <v>754</v>
      </c>
      <c r="C2818" s="2">
        <v>3</v>
      </c>
      <c r="D2818" s="2">
        <v>1817</v>
      </c>
      <c r="E2818">
        <v>9582</v>
      </c>
      <c r="G2818" s="1"/>
      <c r="H2818" t="s">
        <v>1540</v>
      </c>
      <c r="I2818" s="2">
        <v>1668</v>
      </c>
      <c r="J2818" s="2">
        <v>0</v>
      </c>
      <c r="K2818" s="2" t="s">
        <v>866</v>
      </c>
      <c r="L2818" s="43" t="s">
        <v>5248</v>
      </c>
      <c r="P2818" s="41">
        <v>29</v>
      </c>
      <c r="Q2818" s="41">
        <v>8</v>
      </c>
      <c r="R2818" s="41">
        <v>24</v>
      </c>
      <c r="S2818" t="s">
        <v>3343</v>
      </c>
      <c r="AH2818" t="s">
        <v>359</v>
      </c>
    </row>
    <row r="2819" spans="1:34" ht="15.75">
      <c r="A2819" s="29">
        <f t="shared" si="47"/>
        <v>351</v>
      </c>
      <c r="B2819" s="2">
        <v>754</v>
      </c>
      <c r="C2819" s="2">
        <v>3</v>
      </c>
      <c r="D2819" s="2">
        <v>1817</v>
      </c>
      <c r="E2819">
        <v>9583</v>
      </c>
      <c r="G2819" s="1"/>
      <c r="H2819" t="s">
        <v>1541</v>
      </c>
      <c r="I2819" s="2">
        <v>351</v>
      </c>
      <c r="J2819" s="2">
        <v>0</v>
      </c>
      <c r="K2819" s="2" t="s">
        <v>866</v>
      </c>
      <c r="L2819" s="43" t="s">
        <v>5248</v>
      </c>
      <c r="P2819" s="41">
        <v>11</v>
      </c>
      <c r="Q2819" s="41">
        <v>11</v>
      </c>
      <c r="R2819" s="41">
        <v>64</v>
      </c>
      <c r="S2819" t="s">
        <v>3343</v>
      </c>
      <c r="AH2819" t="s">
        <v>359</v>
      </c>
    </row>
    <row r="2820" spans="1:34" ht="15.75">
      <c r="A2820" s="29">
        <f t="shared" si="47"/>
        <v>5214</v>
      </c>
      <c r="B2820" s="2">
        <v>754</v>
      </c>
      <c r="C2820" s="2">
        <v>3</v>
      </c>
      <c r="D2820" s="2">
        <v>1817</v>
      </c>
      <c r="E2820">
        <v>9584</v>
      </c>
      <c r="G2820" s="1"/>
      <c r="H2820" t="s">
        <v>1540</v>
      </c>
      <c r="I2820" s="2">
        <v>5214</v>
      </c>
      <c r="J2820" s="2">
        <v>0</v>
      </c>
      <c r="K2820" s="2" t="s">
        <v>866</v>
      </c>
      <c r="L2820" s="43" t="s">
        <v>5249</v>
      </c>
      <c r="P2820" s="41">
        <v>6</v>
      </c>
      <c r="Q2820" s="41">
        <v>3</v>
      </c>
      <c r="R2820" s="41">
        <v>35</v>
      </c>
      <c r="S2820" t="s">
        <v>3321</v>
      </c>
      <c r="AH2820" t="s">
        <v>359</v>
      </c>
    </row>
    <row r="2821" spans="1:34" ht="15.75">
      <c r="A2821" s="29">
        <f t="shared" si="47"/>
        <v>360</v>
      </c>
      <c r="B2821" s="2">
        <v>754</v>
      </c>
      <c r="C2821" s="2">
        <v>3</v>
      </c>
      <c r="D2821" s="2">
        <v>1817</v>
      </c>
      <c r="E2821">
        <v>9585</v>
      </c>
      <c r="G2821" s="1"/>
      <c r="H2821" t="s">
        <v>1540</v>
      </c>
      <c r="I2821" s="2">
        <v>360</v>
      </c>
      <c r="J2821" s="2">
        <v>0</v>
      </c>
      <c r="K2821" s="2" t="s">
        <v>866</v>
      </c>
      <c r="L2821" s="43" t="s">
        <v>5249</v>
      </c>
      <c r="P2821" s="41">
        <v>17</v>
      </c>
      <c r="Q2821" s="41">
        <v>10</v>
      </c>
      <c r="R2821" s="41" t="s">
        <v>868</v>
      </c>
      <c r="S2821" t="s">
        <v>3321</v>
      </c>
      <c r="AH2821" t="s">
        <v>359</v>
      </c>
    </row>
    <row r="2822" spans="1:34" ht="15.75">
      <c r="A2822" s="29">
        <f t="shared" si="47"/>
        <v>24647</v>
      </c>
      <c r="B2822" s="8">
        <v>754</v>
      </c>
      <c r="C2822" s="2">
        <v>3</v>
      </c>
      <c r="D2822" s="8">
        <v>1817</v>
      </c>
      <c r="E2822">
        <v>9586</v>
      </c>
      <c r="F2822" s="9"/>
      <c r="G2822" s="7"/>
      <c r="H2822" s="9" t="s">
        <v>1541</v>
      </c>
      <c r="I2822" s="8">
        <v>647</v>
      </c>
      <c r="J2822" s="8">
        <v>1200</v>
      </c>
      <c r="K2822" s="2" t="s">
        <v>866</v>
      </c>
      <c r="L2822" s="43" t="s">
        <v>1979</v>
      </c>
      <c r="M2822" s="41" t="s">
        <v>3449</v>
      </c>
      <c r="N2822" s="41" t="s">
        <v>1555</v>
      </c>
      <c r="O2822" s="41" t="s">
        <v>1980</v>
      </c>
      <c r="P2822" s="41">
        <v>7</v>
      </c>
      <c r="Q2822" s="41">
        <v>7</v>
      </c>
      <c r="R2822" s="41">
        <v>86</v>
      </c>
      <c r="S2822" t="s">
        <v>1981</v>
      </c>
      <c r="T2822" t="s">
        <v>1982</v>
      </c>
      <c r="V2822" t="s">
        <v>1983</v>
      </c>
      <c r="X2822">
        <v>1</v>
      </c>
      <c r="Y2822" t="s">
        <v>1984</v>
      </c>
      <c r="AH2822" t="s">
        <v>359</v>
      </c>
    </row>
    <row r="2823" spans="1:34" ht="15.75">
      <c r="A2823" s="29">
        <f t="shared" si="47"/>
        <v>30</v>
      </c>
      <c r="B2823" s="2">
        <v>754</v>
      </c>
      <c r="C2823" s="2">
        <v>3</v>
      </c>
      <c r="D2823" s="2">
        <v>1817</v>
      </c>
      <c r="E2823">
        <v>9587</v>
      </c>
      <c r="G2823" s="1"/>
      <c r="H2823" t="s">
        <v>1540</v>
      </c>
      <c r="I2823" s="2">
        <v>30</v>
      </c>
      <c r="J2823" s="2">
        <v>0</v>
      </c>
      <c r="K2823" s="2" t="s">
        <v>866</v>
      </c>
      <c r="L2823" s="43" t="s">
        <v>5258</v>
      </c>
      <c r="P2823" s="41">
        <v>30</v>
      </c>
      <c r="Q2823" s="41">
        <v>3</v>
      </c>
      <c r="R2823" s="41">
        <v>46</v>
      </c>
      <c r="S2823" t="s">
        <v>3321</v>
      </c>
      <c r="AH2823" t="s">
        <v>359</v>
      </c>
    </row>
    <row r="2824" spans="1:34" ht="15.75">
      <c r="A2824" s="29">
        <f t="shared" si="47"/>
        <v>261</v>
      </c>
      <c r="B2824" s="2">
        <v>754</v>
      </c>
      <c r="C2824" s="2">
        <v>3</v>
      </c>
      <c r="D2824" s="2">
        <v>1817</v>
      </c>
      <c r="E2824">
        <v>9588</v>
      </c>
      <c r="G2824" s="1"/>
      <c r="H2824" t="s">
        <v>1540</v>
      </c>
      <c r="I2824" s="2">
        <v>261</v>
      </c>
      <c r="J2824" s="2">
        <v>0</v>
      </c>
      <c r="K2824" s="2" t="s">
        <v>866</v>
      </c>
      <c r="L2824" s="43" t="s">
        <v>5852</v>
      </c>
      <c r="P2824" s="41">
        <v>21</v>
      </c>
      <c r="Q2824" s="41">
        <v>4</v>
      </c>
      <c r="R2824" s="41" t="s">
        <v>868</v>
      </c>
      <c r="S2824" t="s">
        <v>1547</v>
      </c>
      <c r="AH2824" t="s">
        <v>359</v>
      </c>
    </row>
    <row r="2825" spans="1:34" ht="15.75">
      <c r="A2825" s="29">
        <f t="shared" si="47"/>
        <v>1565</v>
      </c>
      <c r="B2825" s="2">
        <v>754</v>
      </c>
      <c r="C2825" s="2">
        <v>3</v>
      </c>
      <c r="D2825" s="2">
        <v>1817</v>
      </c>
      <c r="E2825">
        <v>9589</v>
      </c>
      <c r="G2825" s="1"/>
      <c r="H2825" t="s">
        <v>1540</v>
      </c>
      <c r="I2825" s="2">
        <v>1565</v>
      </c>
      <c r="J2825" s="2">
        <v>0</v>
      </c>
      <c r="K2825" s="2" t="s">
        <v>866</v>
      </c>
      <c r="L2825" s="43" t="s">
        <v>5852</v>
      </c>
      <c r="P2825" s="41">
        <v>23</v>
      </c>
      <c r="Q2825" s="41">
        <v>10</v>
      </c>
      <c r="R2825" s="41">
        <v>73</v>
      </c>
      <c r="S2825" t="s">
        <v>3321</v>
      </c>
      <c r="AH2825" t="s">
        <v>359</v>
      </c>
    </row>
    <row r="2826" spans="1:34" ht="15.75">
      <c r="A2826" s="29">
        <f t="shared" si="47"/>
        <v>2450</v>
      </c>
      <c r="B2826" s="8">
        <v>755</v>
      </c>
      <c r="C2826" s="2">
        <v>3</v>
      </c>
      <c r="D2826" s="8">
        <v>1817</v>
      </c>
      <c r="E2826">
        <v>9590</v>
      </c>
      <c r="F2826" s="9"/>
      <c r="G2826" s="7"/>
      <c r="H2826" s="7"/>
      <c r="I2826" s="8">
        <v>0</v>
      </c>
      <c r="J2826" s="8">
        <v>1225</v>
      </c>
      <c r="K2826" s="2" t="s">
        <v>866</v>
      </c>
      <c r="L2826" s="43" t="s">
        <v>3344</v>
      </c>
      <c r="P2826" s="41">
        <v>6</v>
      </c>
      <c r="Q2826" s="41">
        <v>10</v>
      </c>
      <c r="R2826" s="41" t="s">
        <v>1547</v>
      </c>
      <c r="S2826" t="s">
        <v>884</v>
      </c>
      <c r="X2826">
        <v>0.1</v>
      </c>
      <c r="Y2826" t="s">
        <v>1985</v>
      </c>
      <c r="AH2826" t="s">
        <v>359</v>
      </c>
    </row>
    <row r="2827" spans="1:34" ht="15.75">
      <c r="A2827" s="29">
        <f t="shared" si="47"/>
        <v>1331</v>
      </c>
      <c r="B2827" s="8">
        <v>755</v>
      </c>
      <c r="C2827" s="2">
        <v>3</v>
      </c>
      <c r="D2827" s="8">
        <v>1817</v>
      </c>
      <c r="E2827">
        <v>9591</v>
      </c>
      <c r="F2827" s="9"/>
      <c r="G2827" s="7"/>
      <c r="H2827" s="7"/>
      <c r="I2827" s="8">
        <v>1331</v>
      </c>
      <c r="J2827" s="8">
        <v>0</v>
      </c>
      <c r="K2827" s="2" t="s">
        <v>866</v>
      </c>
      <c r="L2827" s="43" t="s">
        <v>973</v>
      </c>
      <c r="P2827" s="41">
        <v>4</v>
      </c>
      <c r="Q2827" s="41">
        <v>4</v>
      </c>
      <c r="R2827" s="41">
        <v>7</v>
      </c>
      <c r="S2827" t="s">
        <v>884</v>
      </c>
      <c r="AH2827" t="s">
        <v>359</v>
      </c>
    </row>
    <row r="2828" spans="1:34" ht="15.75">
      <c r="A2828" s="29">
        <f t="shared" si="47"/>
        <v>400</v>
      </c>
      <c r="B2828" s="8">
        <v>755</v>
      </c>
      <c r="C2828" s="2">
        <v>3</v>
      </c>
      <c r="D2828" s="8">
        <v>1817</v>
      </c>
      <c r="E2828">
        <v>9592</v>
      </c>
      <c r="F2828" s="9"/>
      <c r="G2828" s="7"/>
      <c r="H2828" s="7"/>
      <c r="I2828" s="8">
        <v>400</v>
      </c>
      <c r="J2828" s="8">
        <v>0</v>
      </c>
      <c r="K2828" s="2" t="s">
        <v>866</v>
      </c>
      <c r="L2828" s="43" t="s">
        <v>973</v>
      </c>
      <c r="P2828" s="41">
        <v>26</v>
      </c>
      <c r="Q2828" s="41">
        <v>6</v>
      </c>
      <c r="R2828" s="41">
        <v>66</v>
      </c>
      <c r="S2828" t="s">
        <v>3321</v>
      </c>
      <c r="AH2828" t="s">
        <v>359</v>
      </c>
    </row>
    <row r="2829" spans="1:34" ht="15.75">
      <c r="A2829" s="29">
        <f t="shared" si="47"/>
        <v>103</v>
      </c>
      <c r="B2829" s="8">
        <v>755</v>
      </c>
      <c r="C2829" s="2">
        <v>3</v>
      </c>
      <c r="D2829" s="8">
        <v>1817</v>
      </c>
      <c r="E2829">
        <v>9593</v>
      </c>
      <c r="F2829" s="9"/>
      <c r="G2829" s="7"/>
      <c r="H2829" s="7"/>
      <c r="I2829" s="8">
        <v>103</v>
      </c>
      <c r="J2829" s="8">
        <v>0</v>
      </c>
      <c r="K2829" s="2" t="s">
        <v>866</v>
      </c>
      <c r="L2829" s="43" t="s">
        <v>973</v>
      </c>
      <c r="P2829" s="41">
        <v>3</v>
      </c>
      <c r="Q2829" s="41">
        <v>9</v>
      </c>
      <c r="R2829" s="41" t="s">
        <v>1547</v>
      </c>
      <c r="S2829" t="s">
        <v>874</v>
      </c>
      <c r="AH2829" t="s">
        <v>359</v>
      </c>
    </row>
    <row r="2830" spans="1:34" ht="15.75">
      <c r="A2830" s="29">
        <f t="shared" si="47"/>
        <v>4752</v>
      </c>
      <c r="B2830" s="8">
        <v>755</v>
      </c>
      <c r="C2830" s="2">
        <v>3</v>
      </c>
      <c r="D2830" s="8">
        <v>1817</v>
      </c>
      <c r="E2830">
        <v>9594</v>
      </c>
      <c r="F2830" s="9"/>
      <c r="G2830" s="7"/>
      <c r="H2830" s="7"/>
      <c r="I2830" s="8">
        <v>4752</v>
      </c>
      <c r="J2830" s="8">
        <v>0</v>
      </c>
      <c r="K2830" s="2" t="s">
        <v>866</v>
      </c>
      <c r="L2830" s="43" t="s">
        <v>973</v>
      </c>
      <c r="P2830" s="41">
        <v>19</v>
      </c>
      <c r="Q2830" s="41">
        <v>6</v>
      </c>
      <c r="R2830" s="41">
        <v>34</v>
      </c>
      <c r="S2830" t="s">
        <v>3321</v>
      </c>
      <c r="AH2830" t="s">
        <v>359</v>
      </c>
    </row>
    <row r="2831" spans="1:34" ht="15.75">
      <c r="A2831" s="29">
        <f t="shared" si="47"/>
        <v>37</v>
      </c>
      <c r="B2831" s="8">
        <v>755</v>
      </c>
      <c r="C2831" s="2">
        <v>3</v>
      </c>
      <c r="D2831" s="8">
        <v>1817</v>
      </c>
      <c r="E2831">
        <v>9596</v>
      </c>
      <c r="F2831" s="9"/>
      <c r="G2831" s="7"/>
      <c r="H2831" s="7"/>
      <c r="I2831" s="8">
        <v>37</v>
      </c>
      <c r="J2831" s="8">
        <v>0</v>
      </c>
      <c r="K2831" s="2" t="s">
        <v>866</v>
      </c>
      <c r="L2831" s="43" t="s">
        <v>973</v>
      </c>
      <c r="P2831" s="41">
        <v>7</v>
      </c>
      <c r="Q2831" s="41">
        <v>10</v>
      </c>
      <c r="R2831" s="41">
        <v>60</v>
      </c>
      <c r="S2831" t="s">
        <v>874</v>
      </c>
      <c r="AH2831" t="s">
        <v>359</v>
      </c>
    </row>
    <row r="2832" spans="1:34" ht="15.75">
      <c r="A2832" s="29">
        <f t="shared" si="47"/>
        <v>20</v>
      </c>
      <c r="B2832" s="8">
        <v>755</v>
      </c>
      <c r="C2832" s="2">
        <v>3</v>
      </c>
      <c r="D2832" s="8">
        <v>1817</v>
      </c>
      <c r="E2832">
        <v>9597</v>
      </c>
      <c r="F2832" s="9"/>
      <c r="G2832" s="7"/>
      <c r="H2832" s="7"/>
      <c r="I2832" s="8">
        <v>20</v>
      </c>
      <c r="J2832" s="8">
        <v>0</v>
      </c>
      <c r="K2832" s="2" t="s">
        <v>866</v>
      </c>
      <c r="L2832" s="43" t="s">
        <v>2779</v>
      </c>
      <c r="P2832" s="41">
        <v>2</v>
      </c>
      <c r="Q2832" s="41">
        <v>8</v>
      </c>
      <c r="R2832" s="41">
        <v>71</v>
      </c>
      <c r="S2832" t="s">
        <v>884</v>
      </c>
      <c r="AH2832" t="s">
        <v>359</v>
      </c>
    </row>
    <row r="2833" spans="1:34" ht="15.75">
      <c r="A2833" s="29">
        <f t="shared" si="47"/>
        <v>92</v>
      </c>
      <c r="B2833" s="8">
        <v>755</v>
      </c>
      <c r="C2833" s="2">
        <v>3</v>
      </c>
      <c r="D2833" s="8">
        <v>1817</v>
      </c>
      <c r="E2833">
        <v>9598</v>
      </c>
      <c r="F2833" s="9"/>
      <c r="G2833" s="7"/>
      <c r="H2833" s="7"/>
      <c r="I2833" s="8">
        <v>92</v>
      </c>
      <c r="J2833" s="8">
        <v>0</v>
      </c>
      <c r="K2833" s="2" t="s">
        <v>866</v>
      </c>
      <c r="L2833" s="43" t="s">
        <v>2779</v>
      </c>
      <c r="P2833" s="41">
        <v>2</v>
      </c>
      <c r="Q2833" s="41">
        <v>11</v>
      </c>
      <c r="R2833" s="41">
        <v>31</v>
      </c>
      <c r="S2833" t="s">
        <v>3321</v>
      </c>
      <c r="AH2833" t="s">
        <v>359</v>
      </c>
    </row>
    <row r="2834" spans="1:34" ht="15.75">
      <c r="A2834" s="29">
        <f t="shared" si="47"/>
        <v>12932</v>
      </c>
      <c r="B2834" s="8">
        <v>755</v>
      </c>
      <c r="C2834" s="2">
        <v>3</v>
      </c>
      <c r="D2834" s="8">
        <v>1817</v>
      </c>
      <c r="E2834">
        <v>9599</v>
      </c>
      <c r="F2834" s="9"/>
      <c r="G2834" s="7"/>
      <c r="H2834" s="7"/>
      <c r="I2834" s="8">
        <f>4132+400</f>
        <v>4532</v>
      </c>
      <c r="J2834" s="8">
        <v>420</v>
      </c>
      <c r="K2834" s="2" t="s">
        <v>866</v>
      </c>
      <c r="L2834" s="43" t="s">
        <v>2779</v>
      </c>
      <c r="P2834" s="41">
        <v>4</v>
      </c>
      <c r="Q2834" s="41">
        <v>4</v>
      </c>
      <c r="R2834" s="41">
        <v>43</v>
      </c>
      <c r="S2834" t="s">
        <v>3321</v>
      </c>
      <c r="X2834">
        <v>1</v>
      </c>
      <c r="Y2834" t="s">
        <v>1987</v>
      </c>
      <c r="AH2834" t="s">
        <v>359</v>
      </c>
    </row>
    <row r="2835" spans="1:34" ht="15.75">
      <c r="A2835" s="29">
        <f t="shared" si="47"/>
        <v>586</v>
      </c>
      <c r="B2835" s="2">
        <v>755</v>
      </c>
      <c r="C2835" s="2">
        <v>3</v>
      </c>
      <c r="D2835" s="2">
        <v>1817</v>
      </c>
      <c r="E2835">
        <v>9600</v>
      </c>
      <c r="G2835" s="1"/>
      <c r="H2835" s="1"/>
      <c r="I2835" s="2">
        <v>586</v>
      </c>
      <c r="J2835" s="2">
        <v>0</v>
      </c>
      <c r="K2835" s="2" t="s">
        <v>866</v>
      </c>
      <c r="L2835" s="43" t="s">
        <v>2779</v>
      </c>
      <c r="P2835" s="41">
        <v>28</v>
      </c>
      <c r="Q2835" s="41">
        <v>5</v>
      </c>
      <c r="R2835" s="41">
        <v>77</v>
      </c>
      <c r="S2835" t="s">
        <v>874</v>
      </c>
      <c r="AH2835" t="s">
        <v>359</v>
      </c>
    </row>
    <row r="2836" spans="1:34" ht="15.75">
      <c r="A2836" s="29">
        <f t="shared" si="47"/>
        <v>555</v>
      </c>
      <c r="B2836" s="2">
        <v>755</v>
      </c>
      <c r="C2836" s="2">
        <v>3</v>
      </c>
      <c r="D2836" s="2">
        <v>1817</v>
      </c>
      <c r="E2836">
        <v>9601</v>
      </c>
      <c r="G2836" s="1"/>
      <c r="I2836" s="2">
        <v>555</v>
      </c>
      <c r="J2836" s="2">
        <v>0</v>
      </c>
      <c r="K2836" s="2" t="s">
        <v>866</v>
      </c>
      <c r="L2836" s="43" t="s">
        <v>2779</v>
      </c>
      <c r="P2836" s="41">
        <v>7</v>
      </c>
      <c r="Q2836" s="41">
        <v>10</v>
      </c>
      <c r="R2836" s="41">
        <v>54</v>
      </c>
      <c r="S2836" t="s">
        <v>1547</v>
      </c>
      <c r="AH2836" t="s">
        <v>359</v>
      </c>
    </row>
    <row r="2837" spans="1:34" ht="15.75">
      <c r="A2837" s="29">
        <f t="shared" si="47"/>
        <v>185</v>
      </c>
      <c r="B2837" s="2">
        <v>755</v>
      </c>
      <c r="C2837" s="2">
        <v>3</v>
      </c>
      <c r="D2837" s="2">
        <v>1817</v>
      </c>
      <c r="E2837">
        <v>9602</v>
      </c>
      <c r="G2837" s="1"/>
      <c r="I2837" s="2">
        <v>185</v>
      </c>
      <c r="J2837" s="2">
        <v>0</v>
      </c>
      <c r="K2837" s="2" t="s">
        <v>866</v>
      </c>
      <c r="L2837" s="43" t="s">
        <v>2779</v>
      </c>
      <c r="P2837" s="41">
        <v>29</v>
      </c>
      <c r="Q2837" s="41">
        <v>10</v>
      </c>
      <c r="R2837" s="41">
        <v>50</v>
      </c>
      <c r="S2837" t="s">
        <v>3321</v>
      </c>
      <c r="AH2837" t="s">
        <v>359</v>
      </c>
    </row>
    <row r="2838" spans="1:34" ht="15.75">
      <c r="A2838" s="29">
        <f t="shared" si="47"/>
        <v>326462</v>
      </c>
      <c r="B2838" s="8">
        <v>755</v>
      </c>
      <c r="C2838" s="2">
        <v>3</v>
      </c>
      <c r="D2838" s="8">
        <v>1817</v>
      </c>
      <c r="E2838">
        <v>9603</v>
      </c>
      <c r="F2838" s="9"/>
      <c r="G2838" s="7"/>
      <c r="H2838" s="7"/>
      <c r="I2838" s="8">
        <v>226462</v>
      </c>
      <c r="J2838" s="8">
        <f>3000+2000</f>
        <v>5000</v>
      </c>
      <c r="K2838" s="2" t="s">
        <v>866</v>
      </c>
      <c r="L2838" s="43" t="s">
        <v>1988</v>
      </c>
      <c r="M2838" s="41" t="s">
        <v>1989</v>
      </c>
      <c r="O2838" s="41" t="s">
        <v>1990</v>
      </c>
      <c r="P2838" s="41">
        <v>11</v>
      </c>
      <c r="Q2838" s="41">
        <v>11</v>
      </c>
      <c r="R2838" s="41">
        <v>70</v>
      </c>
      <c r="S2838" t="s">
        <v>1991</v>
      </c>
      <c r="T2838" t="s">
        <v>1992</v>
      </c>
      <c r="V2838" t="s">
        <v>2935</v>
      </c>
      <c r="X2838">
        <v>1</v>
      </c>
      <c r="Y2838" t="s">
        <v>1993</v>
      </c>
      <c r="AH2838" t="s">
        <v>359</v>
      </c>
    </row>
    <row r="2839" spans="1:34" ht="15.75">
      <c r="A2839" s="29">
        <f aca="true" t="shared" si="48" ref="A2839:A2902">I2839+J2839*20*X2839</f>
        <v>483</v>
      </c>
      <c r="B2839" s="2">
        <v>756</v>
      </c>
      <c r="C2839" s="2">
        <v>3</v>
      </c>
      <c r="D2839" s="2">
        <v>1817</v>
      </c>
      <c r="E2839">
        <v>9604</v>
      </c>
      <c r="H2839" t="s">
        <v>850</v>
      </c>
      <c r="I2839" s="1">
        <v>483</v>
      </c>
      <c r="J2839" s="1">
        <v>0</v>
      </c>
      <c r="K2839" s="2" t="s">
        <v>866</v>
      </c>
      <c r="L2839" s="43" t="s">
        <v>2778</v>
      </c>
      <c r="P2839" s="41">
        <v>21</v>
      </c>
      <c r="Q2839" s="41">
        <v>6</v>
      </c>
      <c r="R2839" s="41">
        <v>25</v>
      </c>
      <c r="S2839" t="s">
        <v>3321</v>
      </c>
      <c r="AH2839" t="s">
        <v>359</v>
      </c>
    </row>
    <row r="2840" spans="1:34" ht="15.75">
      <c r="A2840" s="29">
        <f t="shared" si="48"/>
        <v>30558</v>
      </c>
      <c r="B2840" s="2">
        <v>756</v>
      </c>
      <c r="C2840" s="2">
        <v>3</v>
      </c>
      <c r="D2840" s="2">
        <v>1817</v>
      </c>
      <c r="E2840">
        <v>9605</v>
      </c>
      <c r="H2840" t="s">
        <v>1540</v>
      </c>
      <c r="I2840" s="1">
        <v>30558</v>
      </c>
      <c r="J2840" s="1">
        <v>0</v>
      </c>
      <c r="K2840" s="2" t="s">
        <v>866</v>
      </c>
      <c r="L2840" s="43" t="s">
        <v>4656</v>
      </c>
      <c r="M2840" s="41" t="s">
        <v>5952</v>
      </c>
      <c r="N2840" s="41" t="s">
        <v>3806</v>
      </c>
      <c r="O2840" s="41" t="s">
        <v>1994</v>
      </c>
      <c r="P2840" s="41">
        <v>11</v>
      </c>
      <c r="Q2840" s="41">
        <v>5</v>
      </c>
      <c r="R2840" s="41">
        <v>54</v>
      </c>
      <c r="S2840" t="s">
        <v>1995</v>
      </c>
      <c r="T2840" t="s">
        <v>1996</v>
      </c>
      <c r="V2840" t="s">
        <v>3911</v>
      </c>
      <c r="AH2840" t="s">
        <v>359</v>
      </c>
    </row>
    <row r="2841" spans="1:34" ht="15.75">
      <c r="A2841" s="29">
        <f t="shared" si="48"/>
        <v>11414</v>
      </c>
      <c r="B2841" s="2">
        <v>756</v>
      </c>
      <c r="C2841" s="2">
        <v>3</v>
      </c>
      <c r="D2841" s="2">
        <v>1817</v>
      </c>
      <c r="E2841">
        <v>9606</v>
      </c>
      <c r="H2841" t="s">
        <v>1540</v>
      </c>
      <c r="I2841" s="1">
        <v>11414</v>
      </c>
      <c r="J2841" s="1">
        <v>0</v>
      </c>
      <c r="K2841" s="2" t="s">
        <v>866</v>
      </c>
      <c r="L2841" s="43" t="s">
        <v>5849</v>
      </c>
      <c r="P2841" s="41">
        <v>7</v>
      </c>
      <c r="Q2841" s="41">
        <v>8</v>
      </c>
      <c r="R2841" s="41">
        <v>79</v>
      </c>
      <c r="S2841" t="s">
        <v>874</v>
      </c>
      <c r="AH2841" t="s">
        <v>359</v>
      </c>
    </row>
    <row r="2842" spans="1:34" ht="15.75">
      <c r="A2842" s="29">
        <f t="shared" si="48"/>
        <v>79</v>
      </c>
      <c r="B2842" s="2">
        <v>756</v>
      </c>
      <c r="C2842" s="2">
        <v>3</v>
      </c>
      <c r="D2842" s="2">
        <v>1817</v>
      </c>
      <c r="E2842">
        <v>9607</v>
      </c>
      <c r="H2842" t="s">
        <v>1541</v>
      </c>
      <c r="I2842" s="1">
        <v>79</v>
      </c>
      <c r="J2842" s="1">
        <v>0</v>
      </c>
      <c r="K2842" s="2" t="s">
        <v>866</v>
      </c>
      <c r="L2842" s="43" t="s">
        <v>5849</v>
      </c>
      <c r="P2842" s="41">
        <v>1</v>
      </c>
      <c r="Q2842" s="41">
        <v>10</v>
      </c>
      <c r="R2842" s="41">
        <v>67</v>
      </c>
      <c r="S2842" t="s">
        <v>874</v>
      </c>
      <c r="AH2842" t="s">
        <v>359</v>
      </c>
    </row>
    <row r="2843" spans="1:34" ht="15.75">
      <c r="A2843" s="29">
        <f t="shared" si="48"/>
        <v>306</v>
      </c>
      <c r="B2843" s="2">
        <v>756</v>
      </c>
      <c r="C2843" s="2">
        <v>3</v>
      </c>
      <c r="D2843" s="2">
        <v>1817</v>
      </c>
      <c r="E2843">
        <v>9608</v>
      </c>
      <c r="H2843" t="s">
        <v>1540</v>
      </c>
      <c r="I2843" s="1">
        <v>306</v>
      </c>
      <c r="J2843" s="1">
        <v>0</v>
      </c>
      <c r="K2843" s="2" t="s">
        <v>866</v>
      </c>
      <c r="L2843" s="43" t="s">
        <v>5849</v>
      </c>
      <c r="P2843" s="41">
        <v>11</v>
      </c>
      <c r="Q2843" s="41">
        <v>10</v>
      </c>
      <c r="R2843" s="41">
        <v>79</v>
      </c>
      <c r="S2843" t="s">
        <v>884</v>
      </c>
      <c r="AH2843" t="s">
        <v>359</v>
      </c>
    </row>
    <row r="2844" spans="1:34" ht="15.75">
      <c r="A2844" s="29">
        <f t="shared" si="48"/>
        <v>200</v>
      </c>
      <c r="B2844" s="2">
        <v>756</v>
      </c>
      <c r="C2844" s="2">
        <v>3</v>
      </c>
      <c r="D2844" s="2">
        <v>1817</v>
      </c>
      <c r="E2844">
        <v>9609</v>
      </c>
      <c r="H2844" t="s">
        <v>1540</v>
      </c>
      <c r="I2844" s="1">
        <v>200</v>
      </c>
      <c r="J2844" s="1">
        <v>0</v>
      </c>
      <c r="K2844" s="2" t="s">
        <v>866</v>
      </c>
      <c r="L2844" s="43" t="s">
        <v>5267</v>
      </c>
      <c r="P2844" s="41">
        <v>13</v>
      </c>
      <c r="Q2844" s="41">
        <v>3</v>
      </c>
      <c r="R2844" s="41">
        <v>65</v>
      </c>
      <c r="S2844" t="s">
        <v>874</v>
      </c>
      <c r="AH2844" t="s">
        <v>359</v>
      </c>
    </row>
    <row r="2845" spans="1:34" ht="15.75">
      <c r="A2845" s="29">
        <f t="shared" si="48"/>
        <v>167</v>
      </c>
      <c r="B2845" s="2">
        <v>756</v>
      </c>
      <c r="C2845" s="2">
        <v>3</v>
      </c>
      <c r="D2845" s="2">
        <v>1817</v>
      </c>
      <c r="E2845">
        <v>9610</v>
      </c>
      <c r="H2845" t="s">
        <v>1540</v>
      </c>
      <c r="I2845" s="1">
        <v>167</v>
      </c>
      <c r="J2845" s="1">
        <v>0</v>
      </c>
      <c r="K2845" s="2" t="s">
        <v>866</v>
      </c>
      <c r="L2845" s="43" t="s">
        <v>5267</v>
      </c>
      <c r="P2845" s="41">
        <v>19</v>
      </c>
      <c r="Q2845" s="41">
        <v>5</v>
      </c>
      <c r="R2845" s="41">
        <v>8</v>
      </c>
      <c r="S2845" t="s">
        <v>884</v>
      </c>
      <c r="AH2845" t="s">
        <v>359</v>
      </c>
    </row>
    <row r="2846" spans="1:34" ht="15.75">
      <c r="A2846" s="29">
        <f t="shared" si="48"/>
        <v>3852</v>
      </c>
      <c r="B2846" s="2">
        <v>756</v>
      </c>
      <c r="C2846" s="2">
        <v>3</v>
      </c>
      <c r="D2846" s="2">
        <v>1817</v>
      </c>
      <c r="E2846">
        <v>9611</v>
      </c>
      <c r="H2846" t="s">
        <v>1540</v>
      </c>
      <c r="I2846" s="1">
        <f>3252+600</f>
        <v>3852</v>
      </c>
      <c r="J2846" s="1">
        <v>0</v>
      </c>
      <c r="K2846" s="2" t="s">
        <v>866</v>
      </c>
      <c r="L2846" s="43" t="s">
        <v>5267</v>
      </c>
      <c r="P2846" s="41">
        <v>1</v>
      </c>
      <c r="Q2846" s="41">
        <v>7</v>
      </c>
      <c r="R2846" s="41" t="s">
        <v>1547</v>
      </c>
      <c r="S2846" t="s">
        <v>3321</v>
      </c>
      <c r="AH2846" t="s">
        <v>359</v>
      </c>
    </row>
    <row r="2847" spans="1:34" ht="15.75">
      <c r="A2847" s="29">
        <f t="shared" si="48"/>
        <v>200</v>
      </c>
      <c r="B2847" s="2">
        <v>756</v>
      </c>
      <c r="C2847" s="2">
        <v>3</v>
      </c>
      <c r="D2847" s="2">
        <v>1817</v>
      </c>
      <c r="E2847">
        <v>9612</v>
      </c>
      <c r="H2847" t="s">
        <v>1541</v>
      </c>
      <c r="I2847" s="1">
        <v>200</v>
      </c>
      <c r="J2847" s="1">
        <v>0</v>
      </c>
      <c r="K2847" s="2" t="s">
        <v>866</v>
      </c>
      <c r="L2847" s="43" t="s">
        <v>5851</v>
      </c>
      <c r="P2847" s="41">
        <v>25</v>
      </c>
      <c r="Q2847" s="41">
        <v>1</v>
      </c>
      <c r="R2847" s="41">
        <v>7</v>
      </c>
      <c r="S2847" t="s">
        <v>884</v>
      </c>
      <c r="AH2847" t="s">
        <v>359</v>
      </c>
    </row>
    <row r="2848" spans="1:34" ht="15.75">
      <c r="A2848" s="29">
        <f t="shared" si="48"/>
        <v>524629</v>
      </c>
      <c r="B2848" s="8">
        <v>757</v>
      </c>
      <c r="C2848" s="2">
        <v>3</v>
      </c>
      <c r="D2848" s="8">
        <v>1817</v>
      </c>
      <c r="E2848">
        <v>9613</v>
      </c>
      <c r="F2848" s="9"/>
      <c r="G2848" s="7"/>
      <c r="H2848" s="9" t="s">
        <v>1540</v>
      </c>
      <c r="I2848" s="8">
        <v>524629</v>
      </c>
      <c r="J2848" s="8">
        <v>0</v>
      </c>
      <c r="K2848" s="2" t="s">
        <v>866</v>
      </c>
      <c r="L2848" s="43" t="s">
        <v>2000</v>
      </c>
      <c r="M2848" s="41" t="s">
        <v>2001</v>
      </c>
      <c r="N2848" s="41" t="s">
        <v>4004</v>
      </c>
      <c r="O2848" s="41" t="s">
        <v>2002</v>
      </c>
      <c r="P2848" s="41">
        <v>5</v>
      </c>
      <c r="Q2848" s="41">
        <v>8</v>
      </c>
      <c r="R2848" s="41">
        <v>54</v>
      </c>
      <c r="S2848" t="s">
        <v>2003</v>
      </c>
      <c r="T2848" t="s">
        <v>2004</v>
      </c>
      <c r="V2848" t="s">
        <v>2005</v>
      </c>
      <c r="AA2848" t="s">
        <v>3157</v>
      </c>
      <c r="AH2848" t="s">
        <v>359</v>
      </c>
    </row>
    <row r="2849" spans="1:34" ht="15.75">
      <c r="A2849" s="29">
        <f t="shared" si="48"/>
        <v>294</v>
      </c>
      <c r="B2849" s="8">
        <v>757</v>
      </c>
      <c r="C2849" s="2">
        <v>3</v>
      </c>
      <c r="D2849" s="8">
        <v>1817</v>
      </c>
      <c r="E2849">
        <v>9614</v>
      </c>
      <c r="F2849" s="9"/>
      <c r="G2849" s="7"/>
      <c r="H2849" s="9" t="s">
        <v>1540</v>
      </c>
      <c r="I2849" s="8">
        <v>294</v>
      </c>
      <c r="J2849" s="8">
        <v>0</v>
      </c>
      <c r="K2849" s="2" t="s">
        <v>866</v>
      </c>
      <c r="L2849" s="43" t="s">
        <v>5273</v>
      </c>
      <c r="P2849" s="41">
        <v>28</v>
      </c>
      <c r="Q2849" s="41">
        <v>2</v>
      </c>
      <c r="R2849" s="41">
        <v>45</v>
      </c>
      <c r="S2849" t="s">
        <v>3321</v>
      </c>
      <c r="AH2849" t="s">
        <v>359</v>
      </c>
    </row>
    <row r="2850" spans="1:34" ht="15.75">
      <c r="A2850" s="29">
        <f t="shared" si="48"/>
        <v>11419</v>
      </c>
      <c r="B2850" s="8">
        <v>757</v>
      </c>
      <c r="C2850" s="2">
        <v>3</v>
      </c>
      <c r="D2850" s="8">
        <v>1817</v>
      </c>
      <c r="E2850">
        <v>9615</v>
      </c>
      <c r="F2850" s="9"/>
      <c r="G2850" s="7"/>
      <c r="H2850" s="9" t="s">
        <v>1541</v>
      </c>
      <c r="I2850" s="8">
        <v>11419</v>
      </c>
      <c r="J2850" s="8">
        <v>0</v>
      </c>
      <c r="K2850" s="2" t="s">
        <v>866</v>
      </c>
      <c r="L2850" s="43" t="s">
        <v>5273</v>
      </c>
      <c r="P2850" s="41">
        <v>17</v>
      </c>
      <c r="Q2850" s="41">
        <v>5</v>
      </c>
      <c r="R2850" s="41">
        <v>86</v>
      </c>
      <c r="S2850" t="s">
        <v>850</v>
      </c>
      <c r="AH2850" t="s">
        <v>359</v>
      </c>
    </row>
    <row r="2851" spans="1:34" ht="15.75">
      <c r="A2851" s="29">
        <f t="shared" si="48"/>
        <v>714</v>
      </c>
      <c r="B2851" s="8">
        <v>757</v>
      </c>
      <c r="C2851" s="2">
        <v>3</v>
      </c>
      <c r="D2851" s="8">
        <v>1817</v>
      </c>
      <c r="E2851">
        <v>9616</v>
      </c>
      <c r="F2851" s="9"/>
      <c r="G2851" s="7"/>
      <c r="H2851" s="9" t="s">
        <v>1541</v>
      </c>
      <c r="I2851" s="8">
        <v>714</v>
      </c>
      <c r="J2851" s="8">
        <v>0</v>
      </c>
      <c r="K2851" s="2" t="s">
        <v>866</v>
      </c>
      <c r="L2851" s="43" t="s">
        <v>5273</v>
      </c>
      <c r="P2851" s="41">
        <v>16</v>
      </c>
      <c r="Q2851" s="41">
        <v>6</v>
      </c>
      <c r="R2851" s="41">
        <v>61</v>
      </c>
      <c r="S2851" t="s">
        <v>874</v>
      </c>
      <c r="AH2851" t="s">
        <v>359</v>
      </c>
    </row>
    <row r="2852" spans="1:34" ht="15.75">
      <c r="A2852" s="29">
        <f t="shared" si="48"/>
        <v>97</v>
      </c>
      <c r="B2852" s="8">
        <v>757</v>
      </c>
      <c r="C2852" s="2">
        <v>3</v>
      </c>
      <c r="D2852" s="8">
        <v>1817</v>
      </c>
      <c r="E2852">
        <v>9617</v>
      </c>
      <c r="F2852" s="9"/>
      <c r="G2852" s="7"/>
      <c r="H2852" s="9" t="s">
        <v>1541</v>
      </c>
      <c r="I2852" s="8">
        <v>97</v>
      </c>
      <c r="J2852" s="8">
        <v>0</v>
      </c>
      <c r="K2852" s="2" t="s">
        <v>866</v>
      </c>
      <c r="L2852" s="43" t="s">
        <v>5850</v>
      </c>
      <c r="P2852" s="41">
        <v>14</v>
      </c>
      <c r="Q2852" s="41">
        <v>4</v>
      </c>
      <c r="R2852" s="41">
        <v>58</v>
      </c>
      <c r="S2852" t="s">
        <v>3321</v>
      </c>
      <c r="AH2852" t="s">
        <v>359</v>
      </c>
    </row>
    <row r="2853" spans="1:34" ht="15.75">
      <c r="A2853" s="29">
        <f t="shared" si="48"/>
        <v>7518</v>
      </c>
      <c r="B2853" s="8">
        <v>757</v>
      </c>
      <c r="C2853" s="2">
        <v>3</v>
      </c>
      <c r="D2853" s="8">
        <v>1817</v>
      </c>
      <c r="E2853">
        <v>9618</v>
      </c>
      <c r="F2853" s="9"/>
      <c r="G2853" s="7"/>
      <c r="H2853" s="9" t="s">
        <v>1541</v>
      </c>
      <c r="I2853" s="8">
        <v>7518</v>
      </c>
      <c r="J2853" s="8">
        <v>0</v>
      </c>
      <c r="K2853" s="2" t="s">
        <v>866</v>
      </c>
      <c r="L2853" s="43" t="s">
        <v>5850</v>
      </c>
      <c r="P2853" s="41">
        <v>12</v>
      </c>
      <c r="Q2853" s="41">
        <v>6</v>
      </c>
      <c r="R2853" s="41">
        <v>64</v>
      </c>
      <c r="S2853" t="s">
        <v>3075</v>
      </c>
      <c r="AH2853" t="s">
        <v>359</v>
      </c>
    </row>
    <row r="2854" spans="1:34" ht="15.75">
      <c r="A2854" s="29">
        <f t="shared" si="48"/>
        <v>6851.333333333333</v>
      </c>
      <c r="B2854" s="8">
        <v>758</v>
      </c>
      <c r="C2854" s="2">
        <v>3</v>
      </c>
      <c r="D2854" s="8">
        <v>1817</v>
      </c>
      <c r="E2854">
        <v>9622</v>
      </c>
      <c r="F2854" s="9"/>
      <c r="G2854" s="7"/>
      <c r="H2854" s="9" t="s">
        <v>1541</v>
      </c>
      <c r="I2854" s="8">
        <v>1518</v>
      </c>
      <c r="J2854" s="8">
        <v>1600</v>
      </c>
      <c r="K2854" s="2" t="s">
        <v>866</v>
      </c>
      <c r="L2854" s="43" t="s">
        <v>2020</v>
      </c>
      <c r="M2854" s="41" t="s">
        <v>2021</v>
      </c>
      <c r="O2854" s="41" t="s">
        <v>2022</v>
      </c>
      <c r="P2854" s="41">
        <v>5</v>
      </c>
      <c r="Q2854" s="41">
        <v>10</v>
      </c>
      <c r="R2854" s="41">
        <v>98</v>
      </c>
      <c r="S2854" t="s">
        <v>2023</v>
      </c>
      <c r="T2854" t="s">
        <v>2024</v>
      </c>
      <c r="V2854" t="s">
        <v>2025</v>
      </c>
      <c r="X2854">
        <f>1/6</f>
        <v>0.16666666666666666</v>
      </c>
      <c r="Y2854" t="s">
        <v>3071</v>
      </c>
      <c r="AH2854" t="s">
        <v>359</v>
      </c>
    </row>
    <row r="2855" spans="1:34" ht="15.75">
      <c r="A2855" s="29">
        <f t="shared" si="48"/>
        <v>2392</v>
      </c>
      <c r="B2855" s="2">
        <v>758</v>
      </c>
      <c r="C2855" s="2">
        <v>3</v>
      </c>
      <c r="D2855" s="2">
        <v>1817</v>
      </c>
      <c r="E2855">
        <v>9623</v>
      </c>
      <c r="G2855" s="1"/>
      <c r="H2855" t="s">
        <v>1540</v>
      </c>
      <c r="I2855" s="2">
        <v>2392</v>
      </c>
      <c r="J2855" s="2">
        <v>0</v>
      </c>
      <c r="K2855" s="2" t="s">
        <v>866</v>
      </c>
      <c r="L2855" s="43" t="s">
        <v>3697</v>
      </c>
      <c r="P2855" s="41">
        <v>5</v>
      </c>
      <c r="Q2855" s="41">
        <v>5</v>
      </c>
      <c r="R2855" s="41">
        <v>56</v>
      </c>
      <c r="S2855" t="s">
        <v>3321</v>
      </c>
      <c r="AH2855" t="s">
        <v>359</v>
      </c>
    </row>
    <row r="2856" spans="1:34" ht="15.75">
      <c r="A2856" s="29">
        <f t="shared" si="48"/>
        <v>45</v>
      </c>
      <c r="B2856" s="2">
        <v>758</v>
      </c>
      <c r="C2856" s="2">
        <v>3</v>
      </c>
      <c r="D2856" s="2">
        <v>1817</v>
      </c>
      <c r="E2856">
        <v>9624</v>
      </c>
      <c r="G2856" s="1"/>
      <c r="H2856" t="s">
        <v>1541</v>
      </c>
      <c r="I2856" s="2">
        <v>45</v>
      </c>
      <c r="J2856" s="2">
        <v>0</v>
      </c>
      <c r="K2856" s="2" t="s">
        <v>866</v>
      </c>
      <c r="L2856" s="43" t="s">
        <v>3697</v>
      </c>
      <c r="P2856" s="41">
        <v>10</v>
      </c>
      <c r="Q2856" s="41">
        <v>10</v>
      </c>
      <c r="R2856" s="41">
        <v>28</v>
      </c>
      <c r="S2856" t="s">
        <v>3321</v>
      </c>
      <c r="AH2856" t="s">
        <v>359</v>
      </c>
    </row>
    <row r="2857" spans="1:34" ht="15.75">
      <c r="A2857" s="29">
        <f t="shared" si="48"/>
        <v>1815</v>
      </c>
      <c r="B2857" s="2">
        <v>758</v>
      </c>
      <c r="C2857" s="2">
        <v>3</v>
      </c>
      <c r="D2857" s="2">
        <v>1817</v>
      </c>
      <c r="E2857">
        <v>9625</v>
      </c>
      <c r="G2857" s="1"/>
      <c r="H2857" t="s">
        <v>1541</v>
      </c>
      <c r="I2857" s="2">
        <v>1815</v>
      </c>
      <c r="J2857" s="2">
        <v>0</v>
      </c>
      <c r="K2857" s="2" t="s">
        <v>866</v>
      </c>
      <c r="L2857" s="43" t="s">
        <v>2696</v>
      </c>
      <c r="P2857" s="41">
        <v>16</v>
      </c>
      <c r="Q2857" s="41">
        <v>11</v>
      </c>
      <c r="R2857" s="41">
        <v>76</v>
      </c>
      <c r="S2857" t="s">
        <v>884</v>
      </c>
      <c r="AH2857" t="s">
        <v>359</v>
      </c>
    </row>
    <row r="2858" spans="1:34" ht="15.75">
      <c r="A2858" s="29">
        <f t="shared" si="48"/>
        <v>522</v>
      </c>
      <c r="B2858" s="2">
        <v>758</v>
      </c>
      <c r="C2858" s="2">
        <v>3</v>
      </c>
      <c r="D2858" s="2">
        <v>1817</v>
      </c>
      <c r="E2858">
        <v>9626</v>
      </c>
      <c r="G2858" s="1"/>
      <c r="H2858" t="s">
        <v>1541</v>
      </c>
      <c r="I2858" s="2">
        <v>522</v>
      </c>
      <c r="J2858" s="2">
        <v>0</v>
      </c>
      <c r="K2858" s="2" t="s">
        <v>866</v>
      </c>
      <c r="L2858" s="43" t="s">
        <v>4932</v>
      </c>
      <c r="P2858" s="41">
        <v>15</v>
      </c>
      <c r="Q2858" s="41">
        <v>11</v>
      </c>
      <c r="R2858" s="41">
        <v>60</v>
      </c>
      <c r="S2858" t="s">
        <v>3321</v>
      </c>
      <c r="AH2858" t="s">
        <v>359</v>
      </c>
    </row>
    <row r="2859" spans="1:34" ht="15.75">
      <c r="A2859" s="29">
        <f t="shared" si="48"/>
        <v>23000</v>
      </c>
      <c r="B2859" s="8">
        <v>758</v>
      </c>
      <c r="C2859" s="2">
        <v>3</v>
      </c>
      <c r="D2859" s="8">
        <v>1817</v>
      </c>
      <c r="E2859">
        <v>9627</v>
      </c>
      <c r="F2859" s="9"/>
      <c r="G2859" s="7"/>
      <c r="H2859" s="9" t="s">
        <v>1541</v>
      </c>
      <c r="I2859" s="8">
        <v>23000</v>
      </c>
      <c r="J2859" s="8">
        <v>0</v>
      </c>
      <c r="K2859" s="2" t="s">
        <v>866</v>
      </c>
      <c r="L2859" s="43" t="s">
        <v>2026</v>
      </c>
      <c r="M2859" s="43" t="s">
        <v>2027</v>
      </c>
      <c r="N2859" s="43"/>
      <c r="O2859" s="41" t="s">
        <v>2028</v>
      </c>
      <c r="P2859" s="41">
        <v>16</v>
      </c>
      <c r="Q2859" s="41">
        <v>3</v>
      </c>
      <c r="R2859" s="41" t="s">
        <v>1547</v>
      </c>
      <c r="S2859" t="s">
        <v>2029</v>
      </c>
      <c r="AH2859" t="s">
        <v>359</v>
      </c>
    </row>
    <row r="2860" spans="1:34" ht="15.75">
      <c r="A2860" s="29">
        <f t="shared" si="48"/>
        <v>31616</v>
      </c>
      <c r="B2860" s="8">
        <v>758</v>
      </c>
      <c r="C2860" s="2">
        <v>3</v>
      </c>
      <c r="D2860" s="8">
        <v>1817</v>
      </c>
      <c r="E2860">
        <v>9628</v>
      </c>
      <c r="F2860" s="9"/>
      <c r="G2860" s="7"/>
      <c r="H2860" s="9" t="s">
        <v>1541</v>
      </c>
      <c r="I2860" s="8">
        <v>31616</v>
      </c>
      <c r="J2860" s="8">
        <v>0</v>
      </c>
      <c r="K2860" s="2" t="s">
        <v>866</v>
      </c>
      <c r="L2860" s="43" t="s">
        <v>2030</v>
      </c>
      <c r="M2860" s="41" t="s">
        <v>2031</v>
      </c>
      <c r="N2860" s="41" t="s">
        <v>3453</v>
      </c>
      <c r="O2860" s="41" t="s">
        <v>2032</v>
      </c>
      <c r="P2860" s="41">
        <v>24</v>
      </c>
      <c r="Q2860" s="41">
        <v>6</v>
      </c>
      <c r="R2860" s="41">
        <v>76</v>
      </c>
      <c r="S2860" t="s">
        <v>2033</v>
      </c>
      <c r="T2860" t="s">
        <v>2034</v>
      </c>
      <c r="V2860" t="s">
        <v>2035</v>
      </c>
      <c r="AH2860" t="s">
        <v>359</v>
      </c>
    </row>
    <row r="2861" spans="1:34" ht="15.75">
      <c r="A2861" s="29">
        <f t="shared" si="48"/>
        <v>185</v>
      </c>
      <c r="B2861" s="2">
        <v>759</v>
      </c>
      <c r="C2861" s="2">
        <v>3</v>
      </c>
      <c r="D2861" s="2">
        <v>1817</v>
      </c>
      <c r="E2861">
        <v>9629</v>
      </c>
      <c r="G2861" s="1"/>
      <c r="H2861" t="s">
        <v>850</v>
      </c>
      <c r="I2861" s="2">
        <v>185</v>
      </c>
      <c r="J2861" s="2">
        <v>0</v>
      </c>
      <c r="K2861" s="2" t="s">
        <v>867</v>
      </c>
      <c r="L2861" s="43" t="s">
        <v>5297</v>
      </c>
      <c r="P2861" s="41">
        <v>30</v>
      </c>
      <c r="Q2861" s="41">
        <v>8</v>
      </c>
      <c r="R2861" s="41">
        <v>59</v>
      </c>
      <c r="S2861" t="s">
        <v>3321</v>
      </c>
      <c r="AH2861" t="s">
        <v>359</v>
      </c>
    </row>
    <row r="2862" spans="1:34" ht="15.75">
      <c r="A2862" s="29">
        <f t="shared" si="48"/>
        <v>12897</v>
      </c>
      <c r="B2862" s="2">
        <v>759</v>
      </c>
      <c r="C2862" s="2">
        <v>3</v>
      </c>
      <c r="D2862" s="2">
        <v>1817</v>
      </c>
      <c r="E2862">
        <v>9630</v>
      </c>
      <c r="G2862" s="1"/>
      <c r="H2862" t="s">
        <v>1549</v>
      </c>
      <c r="I2862" s="2">
        <v>12897</v>
      </c>
      <c r="J2862" s="2">
        <v>0</v>
      </c>
      <c r="K2862" s="2" t="s">
        <v>867</v>
      </c>
      <c r="L2862" s="43" t="s">
        <v>5297</v>
      </c>
      <c r="P2862" s="41">
        <v>6</v>
      </c>
      <c r="Q2862" s="41">
        <v>11</v>
      </c>
      <c r="R2862" s="41">
        <v>40</v>
      </c>
      <c r="S2862" t="s">
        <v>874</v>
      </c>
      <c r="AH2862" t="s">
        <v>359</v>
      </c>
    </row>
    <row r="2863" spans="1:34" ht="15.75">
      <c r="A2863" s="29">
        <f t="shared" si="48"/>
        <v>150</v>
      </c>
      <c r="B2863" s="2">
        <v>759</v>
      </c>
      <c r="C2863" s="2">
        <v>3</v>
      </c>
      <c r="D2863" s="2">
        <v>1817</v>
      </c>
      <c r="E2863">
        <v>9631</v>
      </c>
      <c r="G2863" s="1"/>
      <c r="H2863" t="s">
        <v>850</v>
      </c>
      <c r="I2863" s="2">
        <v>150</v>
      </c>
      <c r="J2863" s="2">
        <v>0</v>
      </c>
      <c r="K2863" s="2" t="s">
        <v>867</v>
      </c>
      <c r="L2863" s="43" t="s">
        <v>5297</v>
      </c>
      <c r="P2863" s="41">
        <v>6</v>
      </c>
      <c r="Q2863" s="41">
        <v>10</v>
      </c>
      <c r="R2863" s="41" t="s">
        <v>1547</v>
      </c>
      <c r="S2863" t="s">
        <v>884</v>
      </c>
      <c r="AH2863" t="s">
        <v>359</v>
      </c>
    </row>
    <row r="2864" spans="1:34" ht="15.75">
      <c r="A2864" s="29">
        <f t="shared" si="48"/>
        <v>27940</v>
      </c>
      <c r="B2864" s="8">
        <v>759</v>
      </c>
      <c r="C2864" s="2">
        <v>3</v>
      </c>
      <c r="D2864" s="8">
        <v>1817</v>
      </c>
      <c r="E2864">
        <v>9632</v>
      </c>
      <c r="F2864" s="9"/>
      <c r="G2864" s="7"/>
      <c r="H2864" s="9" t="s">
        <v>850</v>
      </c>
      <c r="I2864" s="8">
        <v>1940</v>
      </c>
      <c r="J2864" s="8">
        <v>1300</v>
      </c>
      <c r="K2864" s="2" t="s">
        <v>867</v>
      </c>
      <c r="L2864" s="43" t="s">
        <v>2683</v>
      </c>
      <c r="M2864" s="43" t="s">
        <v>2734</v>
      </c>
      <c r="N2864" s="43"/>
      <c r="O2864" s="43" t="s">
        <v>2036</v>
      </c>
      <c r="P2864" s="43">
        <v>7</v>
      </c>
      <c r="Q2864" s="43">
        <v>10</v>
      </c>
      <c r="R2864" s="43" t="s">
        <v>1547</v>
      </c>
      <c r="S2864" s="9" t="s">
        <v>2037</v>
      </c>
      <c r="T2864" s="9" t="s">
        <v>2038</v>
      </c>
      <c r="U2864" s="9" t="s">
        <v>1161</v>
      </c>
      <c r="V2864" s="9" t="s">
        <v>2775</v>
      </c>
      <c r="W2864" s="9"/>
      <c r="X2864" s="9">
        <v>1</v>
      </c>
      <c r="Y2864" t="s">
        <v>2039</v>
      </c>
      <c r="AH2864" t="s">
        <v>359</v>
      </c>
    </row>
    <row r="2865" spans="1:34" ht="15.75">
      <c r="A2865" s="29">
        <f t="shared" si="48"/>
        <v>203</v>
      </c>
      <c r="B2865" s="2">
        <v>759</v>
      </c>
      <c r="C2865" s="2">
        <v>3</v>
      </c>
      <c r="D2865" s="2">
        <v>1817</v>
      </c>
      <c r="E2865">
        <v>9633</v>
      </c>
      <c r="G2865" s="1"/>
      <c r="H2865" t="s">
        <v>850</v>
      </c>
      <c r="I2865" s="2">
        <v>203</v>
      </c>
      <c r="J2865" s="2">
        <v>0</v>
      </c>
      <c r="K2865" s="2" t="s">
        <v>867</v>
      </c>
      <c r="L2865" s="43" t="s">
        <v>2895</v>
      </c>
      <c r="P2865" s="41">
        <v>4</v>
      </c>
      <c r="Q2865" s="41">
        <v>2</v>
      </c>
      <c r="R2865" s="41">
        <v>54</v>
      </c>
      <c r="S2865" t="s">
        <v>874</v>
      </c>
      <c r="AH2865" t="s">
        <v>359</v>
      </c>
    </row>
    <row r="2866" spans="1:34" ht="15.75">
      <c r="A2866" s="29">
        <f t="shared" si="48"/>
        <v>330</v>
      </c>
      <c r="B2866" s="2">
        <v>759</v>
      </c>
      <c r="C2866" s="2">
        <v>3</v>
      </c>
      <c r="D2866" s="2">
        <v>1817</v>
      </c>
      <c r="E2866">
        <v>9634</v>
      </c>
      <c r="G2866" s="1"/>
      <c r="H2866" t="s">
        <v>850</v>
      </c>
      <c r="I2866" s="2">
        <v>330</v>
      </c>
      <c r="J2866" s="2">
        <v>0</v>
      </c>
      <c r="K2866" s="2" t="s">
        <v>867</v>
      </c>
      <c r="L2866" s="43" t="s">
        <v>2898</v>
      </c>
      <c r="P2866" s="41">
        <v>27</v>
      </c>
      <c r="Q2866" s="41">
        <v>7</v>
      </c>
      <c r="R2866" s="41">
        <v>69</v>
      </c>
      <c r="S2866" t="s">
        <v>884</v>
      </c>
      <c r="AH2866" t="s">
        <v>359</v>
      </c>
    </row>
    <row r="2867" spans="1:34" ht="15.75">
      <c r="A2867" s="29">
        <f t="shared" si="48"/>
        <v>1701</v>
      </c>
      <c r="B2867" s="2">
        <v>759</v>
      </c>
      <c r="C2867" s="2">
        <v>3</v>
      </c>
      <c r="D2867" s="2">
        <v>1817</v>
      </c>
      <c r="E2867">
        <v>9635</v>
      </c>
      <c r="G2867" s="1"/>
      <c r="H2867" t="s">
        <v>850</v>
      </c>
      <c r="I2867" s="2">
        <v>1701</v>
      </c>
      <c r="J2867" s="2">
        <v>0</v>
      </c>
      <c r="K2867" s="2" t="s">
        <v>867</v>
      </c>
      <c r="L2867" s="43" t="s">
        <v>2899</v>
      </c>
      <c r="P2867" s="41">
        <v>24</v>
      </c>
      <c r="Q2867" s="41">
        <v>12</v>
      </c>
      <c r="R2867" s="41">
        <v>74</v>
      </c>
      <c r="S2867" t="s">
        <v>874</v>
      </c>
      <c r="AH2867" t="s">
        <v>359</v>
      </c>
    </row>
    <row r="2868" spans="1:34" ht="15.75">
      <c r="A2868" s="29">
        <f t="shared" si="48"/>
        <v>53</v>
      </c>
      <c r="B2868" s="2">
        <v>759</v>
      </c>
      <c r="C2868" s="2">
        <v>3</v>
      </c>
      <c r="D2868" s="2">
        <v>1817</v>
      </c>
      <c r="E2868">
        <v>9636</v>
      </c>
      <c r="G2868" s="1"/>
      <c r="H2868" t="s">
        <v>850</v>
      </c>
      <c r="I2868" s="2">
        <v>53</v>
      </c>
      <c r="J2868" s="2">
        <v>0</v>
      </c>
      <c r="K2868" s="2" t="s">
        <v>867</v>
      </c>
      <c r="L2868" s="43" t="s">
        <v>377</v>
      </c>
      <c r="P2868" s="41">
        <v>3</v>
      </c>
      <c r="Q2868" s="41">
        <v>3</v>
      </c>
      <c r="R2868" s="41">
        <v>64</v>
      </c>
      <c r="S2868" t="s">
        <v>3321</v>
      </c>
      <c r="AH2868" t="s">
        <v>359</v>
      </c>
    </row>
    <row r="2869" spans="1:34" ht="15.75">
      <c r="A2869" s="29">
        <f t="shared" si="48"/>
        <v>4750</v>
      </c>
      <c r="B2869" s="2">
        <v>759</v>
      </c>
      <c r="C2869" s="2">
        <v>3</v>
      </c>
      <c r="D2869" s="2">
        <v>1817</v>
      </c>
      <c r="E2869">
        <v>9637</v>
      </c>
      <c r="G2869" s="1"/>
      <c r="H2869" t="s">
        <v>1549</v>
      </c>
      <c r="I2869" s="2">
        <v>4750</v>
      </c>
      <c r="J2869" s="2">
        <v>0</v>
      </c>
      <c r="K2869" s="2" t="s">
        <v>867</v>
      </c>
      <c r="L2869" s="43" t="s">
        <v>377</v>
      </c>
      <c r="P2869" s="41">
        <v>8</v>
      </c>
      <c r="Q2869" s="41">
        <v>12</v>
      </c>
      <c r="R2869" s="41">
        <v>49</v>
      </c>
      <c r="S2869" t="s">
        <v>3321</v>
      </c>
      <c r="AH2869" t="s">
        <v>359</v>
      </c>
    </row>
    <row r="2870" spans="1:34" ht="15.75">
      <c r="A2870" s="29">
        <f t="shared" si="48"/>
        <v>4088</v>
      </c>
      <c r="B2870" s="2">
        <v>760</v>
      </c>
      <c r="C2870" s="2">
        <v>3</v>
      </c>
      <c r="D2870" s="2">
        <v>1817</v>
      </c>
      <c r="E2870">
        <v>9638</v>
      </c>
      <c r="G2870" s="1"/>
      <c r="H2870" t="s">
        <v>1541</v>
      </c>
      <c r="I2870" s="2">
        <v>4088</v>
      </c>
      <c r="J2870" s="2">
        <v>0</v>
      </c>
      <c r="K2870" s="2" t="s">
        <v>867</v>
      </c>
      <c r="L2870" s="43" t="s">
        <v>377</v>
      </c>
      <c r="P2870" s="41">
        <v>29</v>
      </c>
      <c r="Q2870" s="41">
        <v>11</v>
      </c>
      <c r="R2870" s="41">
        <v>63</v>
      </c>
      <c r="S2870" t="s">
        <v>1547</v>
      </c>
      <c r="AH2870" t="s">
        <v>359</v>
      </c>
    </row>
    <row r="2871" spans="1:34" ht="15.75">
      <c r="A2871" s="29">
        <f t="shared" si="48"/>
        <v>32</v>
      </c>
      <c r="B2871" s="2">
        <v>760</v>
      </c>
      <c r="C2871" s="2">
        <v>3</v>
      </c>
      <c r="D2871" s="2">
        <v>1817</v>
      </c>
      <c r="E2871">
        <v>9639</v>
      </c>
      <c r="G2871" s="1"/>
      <c r="H2871" t="s">
        <v>1541</v>
      </c>
      <c r="I2871" s="2">
        <v>32</v>
      </c>
      <c r="J2871" s="2">
        <v>0</v>
      </c>
      <c r="K2871" s="2" t="s">
        <v>867</v>
      </c>
      <c r="L2871" s="43" t="s">
        <v>377</v>
      </c>
      <c r="P2871" s="41">
        <v>20</v>
      </c>
      <c r="Q2871" s="41">
        <v>8</v>
      </c>
      <c r="R2871" s="41">
        <v>57</v>
      </c>
      <c r="S2871" t="s">
        <v>874</v>
      </c>
      <c r="AH2871" t="s">
        <v>359</v>
      </c>
    </row>
    <row r="2872" spans="1:34" ht="15.75">
      <c r="A2872" s="29">
        <f t="shared" si="48"/>
        <v>10766</v>
      </c>
      <c r="B2872" s="2">
        <v>760</v>
      </c>
      <c r="C2872" s="2">
        <v>3</v>
      </c>
      <c r="D2872" s="2">
        <v>1817</v>
      </c>
      <c r="E2872">
        <v>9640</v>
      </c>
      <c r="G2872" s="1"/>
      <c r="H2872" t="s">
        <v>1549</v>
      </c>
      <c r="I2872" s="2">
        <v>10766</v>
      </c>
      <c r="J2872" s="2">
        <v>0</v>
      </c>
      <c r="K2872" s="2" t="s">
        <v>867</v>
      </c>
      <c r="L2872" s="43" t="s">
        <v>377</v>
      </c>
      <c r="P2872" s="41">
        <v>11</v>
      </c>
      <c r="Q2872" s="41">
        <v>4</v>
      </c>
      <c r="R2872" s="41">
        <v>86</v>
      </c>
      <c r="S2872" t="s">
        <v>874</v>
      </c>
      <c r="AH2872" t="s">
        <v>359</v>
      </c>
    </row>
    <row r="2873" spans="1:34" ht="15.75">
      <c r="A2873" s="29">
        <f t="shared" si="48"/>
        <v>95</v>
      </c>
      <c r="B2873" s="2">
        <v>760</v>
      </c>
      <c r="C2873" s="2">
        <v>3</v>
      </c>
      <c r="D2873" s="2">
        <v>1817</v>
      </c>
      <c r="E2873">
        <v>9641</v>
      </c>
      <c r="G2873" s="1"/>
      <c r="H2873" t="s">
        <v>850</v>
      </c>
      <c r="I2873" s="2">
        <v>95</v>
      </c>
      <c r="J2873" s="2">
        <v>0</v>
      </c>
      <c r="K2873" s="2" t="s">
        <v>867</v>
      </c>
      <c r="L2873" s="43" t="s">
        <v>377</v>
      </c>
      <c r="P2873" s="41">
        <v>6</v>
      </c>
      <c r="Q2873" s="41">
        <v>9</v>
      </c>
      <c r="R2873" s="41">
        <v>67</v>
      </c>
      <c r="S2873" t="s">
        <v>884</v>
      </c>
      <c r="AH2873" t="s">
        <v>359</v>
      </c>
    </row>
    <row r="2874" spans="1:34" ht="15.75">
      <c r="A2874" s="29">
        <f t="shared" si="48"/>
        <v>50881</v>
      </c>
      <c r="B2874" s="2">
        <v>760</v>
      </c>
      <c r="C2874" s="2">
        <v>3</v>
      </c>
      <c r="D2874" s="2">
        <v>1817</v>
      </c>
      <c r="E2874">
        <v>9642</v>
      </c>
      <c r="G2874" s="1"/>
      <c r="H2874" t="s">
        <v>1541</v>
      </c>
      <c r="I2874" s="2">
        <v>50881</v>
      </c>
      <c r="J2874" s="2">
        <v>0</v>
      </c>
      <c r="K2874" s="2" t="s">
        <v>867</v>
      </c>
      <c r="L2874" s="43" t="s">
        <v>2047</v>
      </c>
      <c r="M2874" s="41" t="s">
        <v>5091</v>
      </c>
      <c r="N2874" s="41" t="s">
        <v>2048</v>
      </c>
      <c r="O2874" s="41" t="s">
        <v>2049</v>
      </c>
      <c r="P2874" s="41">
        <v>9</v>
      </c>
      <c r="Q2874" s="41">
        <v>11</v>
      </c>
      <c r="R2874" s="41">
        <v>55</v>
      </c>
      <c r="S2874" t="s">
        <v>2050</v>
      </c>
      <c r="T2874" t="s">
        <v>375</v>
      </c>
      <c r="V2874" t="s">
        <v>1611</v>
      </c>
      <c r="AH2874" t="s">
        <v>359</v>
      </c>
    </row>
    <row r="2875" spans="1:34" ht="15.75">
      <c r="A2875" s="29">
        <f t="shared" si="48"/>
        <v>19806</v>
      </c>
      <c r="B2875" s="8">
        <v>760</v>
      </c>
      <c r="C2875" s="2">
        <v>3</v>
      </c>
      <c r="D2875" s="8">
        <v>1817</v>
      </c>
      <c r="E2875">
        <v>9643</v>
      </c>
      <c r="F2875" s="9"/>
      <c r="G2875" s="7"/>
      <c r="H2875" s="9" t="s">
        <v>1540</v>
      </c>
      <c r="I2875" s="8">
        <v>7806</v>
      </c>
      <c r="J2875" s="8">
        <v>600</v>
      </c>
      <c r="K2875" s="2" t="s">
        <v>867</v>
      </c>
      <c r="L2875" s="43" t="s">
        <v>2047</v>
      </c>
      <c r="M2875" s="41" t="s">
        <v>2051</v>
      </c>
      <c r="O2875" s="41" t="s">
        <v>2052</v>
      </c>
      <c r="P2875" s="41">
        <v>10</v>
      </c>
      <c r="Q2875" s="41">
        <v>10</v>
      </c>
      <c r="R2875" s="41">
        <v>13</v>
      </c>
      <c r="S2875" t="s">
        <v>3579</v>
      </c>
      <c r="T2875" t="s">
        <v>2053</v>
      </c>
      <c r="V2875" t="s">
        <v>2054</v>
      </c>
      <c r="X2875">
        <v>1</v>
      </c>
      <c r="Y2875" t="s">
        <v>2055</v>
      </c>
      <c r="AH2875" t="s">
        <v>359</v>
      </c>
    </row>
    <row r="2876" spans="1:34" ht="15.75">
      <c r="A2876" s="29">
        <f t="shared" si="48"/>
        <v>150</v>
      </c>
      <c r="B2876" s="2">
        <v>760</v>
      </c>
      <c r="C2876" s="2">
        <v>3</v>
      </c>
      <c r="D2876" s="2">
        <v>1817</v>
      </c>
      <c r="E2876">
        <v>9644</v>
      </c>
      <c r="G2876" s="1"/>
      <c r="H2876" t="s">
        <v>1540</v>
      </c>
      <c r="I2876" s="2">
        <f>100+50</f>
        <v>150</v>
      </c>
      <c r="J2876" s="2">
        <v>0</v>
      </c>
      <c r="K2876" s="2" t="s">
        <v>867</v>
      </c>
      <c r="L2876" s="43" t="s">
        <v>3617</v>
      </c>
      <c r="P2876" s="41">
        <v>11</v>
      </c>
      <c r="Q2876" s="41">
        <v>2</v>
      </c>
      <c r="R2876" s="41">
        <v>67</v>
      </c>
      <c r="S2876" t="s">
        <v>3321</v>
      </c>
      <c r="AH2876" t="s">
        <v>359</v>
      </c>
    </row>
    <row r="2877" spans="1:34" ht="15.75">
      <c r="A2877" s="29">
        <f t="shared" si="48"/>
        <v>90</v>
      </c>
      <c r="B2877" s="2">
        <v>760</v>
      </c>
      <c r="C2877" s="2">
        <v>3</v>
      </c>
      <c r="D2877" s="2">
        <v>1817</v>
      </c>
      <c r="E2877">
        <v>9645</v>
      </c>
      <c r="G2877" s="1"/>
      <c r="H2877" t="s">
        <v>1540</v>
      </c>
      <c r="I2877" s="2">
        <f>60+30</f>
        <v>90</v>
      </c>
      <c r="J2877" s="2">
        <v>0</v>
      </c>
      <c r="K2877" s="2" t="s">
        <v>867</v>
      </c>
      <c r="L2877" s="43" t="s">
        <v>3617</v>
      </c>
      <c r="P2877" s="41">
        <v>10</v>
      </c>
      <c r="Q2877" s="41">
        <v>6</v>
      </c>
      <c r="R2877" s="41">
        <v>42</v>
      </c>
      <c r="S2877" t="s">
        <v>3321</v>
      </c>
      <c r="AH2877" t="s">
        <v>359</v>
      </c>
    </row>
    <row r="2878" spans="1:34" ht="15.75">
      <c r="A2878" s="29">
        <f t="shared" si="48"/>
        <v>612</v>
      </c>
      <c r="B2878" s="2">
        <v>760</v>
      </c>
      <c r="C2878" s="2">
        <v>3</v>
      </c>
      <c r="D2878" s="2">
        <v>1817</v>
      </c>
      <c r="E2878">
        <v>9646</v>
      </c>
      <c r="G2878" s="1"/>
      <c r="H2878" t="s">
        <v>1540</v>
      </c>
      <c r="I2878" s="2">
        <v>612</v>
      </c>
      <c r="J2878" s="2">
        <v>0</v>
      </c>
      <c r="K2878" s="2" t="s">
        <v>867</v>
      </c>
      <c r="L2878" s="43" t="s">
        <v>3617</v>
      </c>
      <c r="P2878" s="41">
        <v>18</v>
      </c>
      <c r="Q2878" s="41">
        <v>11</v>
      </c>
      <c r="R2878" s="41">
        <v>62</v>
      </c>
      <c r="S2878" t="s">
        <v>3321</v>
      </c>
      <c r="AH2878" t="s">
        <v>359</v>
      </c>
    </row>
    <row r="2879" spans="1:34" ht="15.75">
      <c r="A2879" s="29">
        <f t="shared" si="48"/>
        <v>4104</v>
      </c>
      <c r="B2879" s="2">
        <v>760</v>
      </c>
      <c r="C2879" s="2">
        <v>3</v>
      </c>
      <c r="D2879" s="2">
        <v>1817</v>
      </c>
      <c r="E2879">
        <v>9647</v>
      </c>
      <c r="G2879" s="1"/>
      <c r="H2879" t="s">
        <v>1540</v>
      </c>
      <c r="I2879" s="2">
        <v>4104</v>
      </c>
      <c r="J2879" s="2">
        <v>0</v>
      </c>
      <c r="K2879" s="2" t="s">
        <v>867</v>
      </c>
      <c r="L2879" s="43" t="s">
        <v>3618</v>
      </c>
      <c r="P2879" s="41">
        <v>23</v>
      </c>
      <c r="Q2879" s="41">
        <v>5</v>
      </c>
      <c r="R2879" s="41" t="s">
        <v>5298</v>
      </c>
      <c r="S2879" t="s">
        <v>884</v>
      </c>
      <c r="AH2879" t="s">
        <v>359</v>
      </c>
    </row>
    <row r="2880" spans="1:34" ht="15.75">
      <c r="A2880" s="29">
        <f t="shared" si="48"/>
        <v>3660</v>
      </c>
      <c r="B2880" s="2">
        <v>760</v>
      </c>
      <c r="C2880" s="2">
        <v>3</v>
      </c>
      <c r="D2880" s="2">
        <v>1817</v>
      </c>
      <c r="E2880">
        <v>9648</v>
      </c>
      <c r="G2880" s="1"/>
      <c r="H2880" t="s">
        <v>1541</v>
      </c>
      <c r="I2880" s="2">
        <v>3660</v>
      </c>
      <c r="J2880" s="2">
        <v>0</v>
      </c>
      <c r="K2880" s="2" t="s">
        <v>867</v>
      </c>
      <c r="L2880" s="43" t="s">
        <v>3619</v>
      </c>
      <c r="P2880" s="41">
        <v>28</v>
      </c>
      <c r="Q2880" s="41">
        <v>5</v>
      </c>
      <c r="R2880" s="41">
        <v>62</v>
      </c>
      <c r="S2880" t="s">
        <v>3321</v>
      </c>
      <c r="AH2880" t="s">
        <v>359</v>
      </c>
    </row>
    <row r="2881" spans="1:34" ht="15.75">
      <c r="A2881" s="29">
        <f t="shared" si="48"/>
        <v>7986</v>
      </c>
      <c r="B2881" s="2">
        <v>760</v>
      </c>
      <c r="C2881" s="2">
        <v>3</v>
      </c>
      <c r="D2881" s="2">
        <v>1817</v>
      </c>
      <c r="E2881">
        <v>9649</v>
      </c>
      <c r="G2881" s="1"/>
      <c r="H2881" t="s">
        <v>1540</v>
      </c>
      <c r="I2881" s="2">
        <f>286+7700</f>
        <v>7986</v>
      </c>
      <c r="J2881" s="2">
        <v>0</v>
      </c>
      <c r="K2881" s="2" t="s">
        <v>867</v>
      </c>
      <c r="L2881" s="43" t="s">
        <v>2040</v>
      </c>
      <c r="P2881" s="41">
        <v>12</v>
      </c>
      <c r="Q2881" s="41">
        <v>5</v>
      </c>
      <c r="R2881" s="41">
        <v>72</v>
      </c>
      <c r="S2881" t="s">
        <v>874</v>
      </c>
      <c r="AH2881" t="s">
        <v>359</v>
      </c>
    </row>
    <row r="2882" spans="1:34" ht="15.75">
      <c r="A2882" s="29">
        <f t="shared" si="48"/>
        <v>188</v>
      </c>
      <c r="B2882" s="8">
        <v>760</v>
      </c>
      <c r="C2882" s="2">
        <v>3</v>
      </c>
      <c r="D2882" s="8">
        <v>1817</v>
      </c>
      <c r="E2882">
        <v>9650</v>
      </c>
      <c r="F2882" s="9"/>
      <c r="G2882" s="7"/>
      <c r="H2882" s="9" t="s">
        <v>1549</v>
      </c>
      <c r="I2882" s="8">
        <v>188</v>
      </c>
      <c r="J2882" s="8">
        <v>0</v>
      </c>
      <c r="K2882" s="2" t="s">
        <v>867</v>
      </c>
      <c r="L2882" s="43" t="s">
        <v>3622</v>
      </c>
      <c r="P2882" s="41">
        <v>1</v>
      </c>
      <c r="Q2882" s="41">
        <v>10</v>
      </c>
      <c r="R2882" s="41">
        <v>74</v>
      </c>
      <c r="S2882" t="s">
        <v>3321</v>
      </c>
      <c r="AH2882" t="s">
        <v>359</v>
      </c>
    </row>
    <row r="2883" spans="1:34" ht="15.75">
      <c r="A2883" s="29">
        <f t="shared" si="48"/>
        <v>45176</v>
      </c>
      <c r="B2883" s="2">
        <v>761</v>
      </c>
      <c r="C2883" s="2">
        <v>3</v>
      </c>
      <c r="D2883" s="2">
        <v>1817</v>
      </c>
      <c r="E2883">
        <v>9652</v>
      </c>
      <c r="H2883" t="s">
        <v>1541</v>
      </c>
      <c r="I2883" s="1">
        <v>21876</v>
      </c>
      <c r="J2883" s="1">
        <v>2330</v>
      </c>
      <c r="K2883" s="2" t="s">
        <v>867</v>
      </c>
      <c r="L2883" s="43" t="s">
        <v>2056</v>
      </c>
      <c r="M2883" s="41" t="s">
        <v>1371</v>
      </c>
      <c r="N2883" s="41" t="s">
        <v>1545</v>
      </c>
      <c r="O2883" s="41" t="s">
        <v>2057</v>
      </c>
      <c r="P2883" s="41">
        <v>29</v>
      </c>
      <c r="Q2883" s="41">
        <v>12</v>
      </c>
      <c r="R2883" s="41">
        <v>71</v>
      </c>
      <c r="S2883" t="s">
        <v>2058</v>
      </c>
      <c r="T2883" t="s">
        <v>2059</v>
      </c>
      <c r="V2883" t="s">
        <v>3878</v>
      </c>
      <c r="X2883">
        <v>0.5</v>
      </c>
      <c r="Y2883" t="s">
        <v>2060</v>
      </c>
      <c r="AH2883" t="s">
        <v>359</v>
      </c>
    </row>
    <row r="2884" spans="1:34" ht="15.75">
      <c r="A2884" s="29">
        <f t="shared" si="48"/>
        <v>31</v>
      </c>
      <c r="B2884" s="2">
        <v>761</v>
      </c>
      <c r="C2884" s="2">
        <v>3</v>
      </c>
      <c r="D2884" s="2">
        <v>1817</v>
      </c>
      <c r="E2884">
        <v>9653</v>
      </c>
      <c r="H2884" t="s">
        <v>1541</v>
      </c>
      <c r="I2884" s="1">
        <v>31</v>
      </c>
      <c r="J2884" s="1">
        <v>0</v>
      </c>
      <c r="K2884" s="2" t="s">
        <v>867</v>
      </c>
      <c r="L2884" s="43" t="s">
        <v>3624</v>
      </c>
      <c r="P2884" s="41">
        <v>10</v>
      </c>
      <c r="Q2884" s="41">
        <v>10</v>
      </c>
      <c r="R2884" s="41" t="s">
        <v>1547</v>
      </c>
      <c r="S2884" t="s">
        <v>3321</v>
      </c>
      <c r="AH2884" t="s">
        <v>359</v>
      </c>
    </row>
    <row r="2885" spans="1:34" ht="15.75">
      <c r="A2885" s="29">
        <f t="shared" si="48"/>
        <v>16853</v>
      </c>
      <c r="B2885" s="8">
        <v>761</v>
      </c>
      <c r="C2885" s="2">
        <v>3</v>
      </c>
      <c r="D2885" s="8">
        <v>1817</v>
      </c>
      <c r="E2885">
        <v>9654</v>
      </c>
      <c r="F2885" s="9"/>
      <c r="G2885" s="9"/>
      <c r="H2885" s="9" t="s">
        <v>1541</v>
      </c>
      <c r="I2885" s="7">
        <f>11678+5175</f>
        <v>16853</v>
      </c>
      <c r="J2885" s="7">
        <v>0</v>
      </c>
      <c r="K2885" s="2" t="s">
        <v>867</v>
      </c>
      <c r="L2885" s="43" t="s">
        <v>3703</v>
      </c>
      <c r="P2885" s="41">
        <v>18</v>
      </c>
      <c r="Q2885" s="41">
        <v>3</v>
      </c>
      <c r="R2885" s="41">
        <v>83</v>
      </c>
      <c r="S2885" t="s">
        <v>874</v>
      </c>
      <c r="AH2885" t="s">
        <v>359</v>
      </c>
    </row>
    <row r="2886" spans="1:34" ht="15.75">
      <c r="A2886" s="29">
        <f t="shared" si="48"/>
        <v>1060</v>
      </c>
      <c r="B2886" s="2">
        <v>761</v>
      </c>
      <c r="C2886" s="2">
        <v>3</v>
      </c>
      <c r="D2886" s="2">
        <v>1817</v>
      </c>
      <c r="E2886">
        <v>9655</v>
      </c>
      <c r="H2886" t="s">
        <v>1541</v>
      </c>
      <c r="I2886" s="1">
        <v>1060</v>
      </c>
      <c r="J2886" s="1">
        <v>0</v>
      </c>
      <c r="K2886" s="2" t="s">
        <v>867</v>
      </c>
      <c r="L2886" s="43" t="s">
        <v>3703</v>
      </c>
      <c r="P2886" s="41">
        <v>14</v>
      </c>
      <c r="Q2886" s="41">
        <v>6</v>
      </c>
      <c r="R2886" s="41">
        <v>46</v>
      </c>
      <c r="S2886" t="s">
        <v>874</v>
      </c>
      <c r="AH2886" t="s">
        <v>359</v>
      </c>
    </row>
    <row r="2887" spans="1:34" ht="15.75">
      <c r="A2887" s="29">
        <f t="shared" si="48"/>
        <v>86</v>
      </c>
      <c r="B2887" s="2">
        <v>761</v>
      </c>
      <c r="C2887" s="2">
        <v>3</v>
      </c>
      <c r="D2887" s="2">
        <v>1817</v>
      </c>
      <c r="E2887">
        <v>9656</v>
      </c>
      <c r="H2887" t="s">
        <v>1541</v>
      </c>
      <c r="I2887" s="1">
        <v>86</v>
      </c>
      <c r="J2887" s="1">
        <v>0</v>
      </c>
      <c r="K2887" s="2" t="s">
        <v>867</v>
      </c>
      <c r="L2887" s="43" t="s">
        <v>3703</v>
      </c>
      <c r="P2887" s="41">
        <v>7</v>
      </c>
      <c r="Q2887" s="41">
        <v>4</v>
      </c>
      <c r="R2887" s="41">
        <v>50</v>
      </c>
      <c r="S2887" t="s">
        <v>3321</v>
      </c>
      <c r="AH2887" t="s">
        <v>359</v>
      </c>
    </row>
    <row r="2888" spans="1:34" ht="15.75">
      <c r="A2888" s="29">
        <f t="shared" si="48"/>
        <v>45024</v>
      </c>
      <c r="B2888" s="2">
        <v>761</v>
      </c>
      <c r="C2888" s="2">
        <v>3</v>
      </c>
      <c r="D2888" s="2">
        <v>1817</v>
      </c>
      <c r="E2888">
        <v>9658</v>
      </c>
      <c r="H2888" t="s">
        <v>850</v>
      </c>
      <c r="I2888" s="1">
        <f>30016+15008</f>
        <v>45024</v>
      </c>
      <c r="J2888" s="1">
        <v>0</v>
      </c>
      <c r="K2888" s="2" t="s">
        <v>867</v>
      </c>
      <c r="L2888" s="43" t="s">
        <v>2066</v>
      </c>
      <c r="M2888" s="41" t="s">
        <v>1700</v>
      </c>
      <c r="O2888" s="41" t="s">
        <v>2067</v>
      </c>
      <c r="P2888" s="41">
        <v>10</v>
      </c>
      <c r="Q2888" s="41">
        <v>12</v>
      </c>
      <c r="R2888" s="41">
        <v>61</v>
      </c>
      <c r="S2888" t="s">
        <v>874</v>
      </c>
      <c r="T2888" t="s">
        <v>2068</v>
      </c>
      <c r="AH2888" t="s">
        <v>359</v>
      </c>
    </row>
    <row r="2889" spans="1:34" ht="15.75">
      <c r="A2889" s="29">
        <f t="shared" si="48"/>
        <v>138572</v>
      </c>
      <c r="B2889" s="2">
        <v>761</v>
      </c>
      <c r="C2889" s="2">
        <v>3</v>
      </c>
      <c r="D2889" s="2">
        <v>1817</v>
      </c>
      <c r="E2889">
        <v>9659</v>
      </c>
      <c r="H2889" t="s">
        <v>1549</v>
      </c>
      <c r="I2889" s="1">
        <f>23840+76732</f>
        <v>100572</v>
      </c>
      <c r="J2889" s="1">
        <v>1900</v>
      </c>
      <c r="K2889" s="2" t="s">
        <v>867</v>
      </c>
      <c r="L2889" s="43" t="s">
        <v>2069</v>
      </c>
      <c r="M2889" s="41" t="s">
        <v>2070</v>
      </c>
      <c r="N2889" s="41" t="s">
        <v>2071</v>
      </c>
      <c r="O2889" s="41" t="s">
        <v>2067</v>
      </c>
      <c r="P2889" s="41">
        <v>20</v>
      </c>
      <c r="Q2889" s="41">
        <v>12</v>
      </c>
      <c r="R2889" s="41" t="s">
        <v>1547</v>
      </c>
      <c r="S2889" t="s">
        <v>3321</v>
      </c>
      <c r="T2889" t="s">
        <v>2072</v>
      </c>
      <c r="X2889" s="47">
        <v>1</v>
      </c>
      <c r="AH2889" t="s">
        <v>359</v>
      </c>
    </row>
    <row r="2890" spans="1:34" ht="15.75">
      <c r="A2890" s="29">
        <f t="shared" si="48"/>
        <v>6517</v>
      </c>
      <c r="B2890" s="2">
        <v>761</v>
      </c>
      <c r="C2890" s="2">
        <v>3</v>
      </c>
      <c r="D2890" s="2">
        <v>1817</v>
      </c>
      <c r="E2890">
        <v>9660</v>
      </c>
      <c r="H2890" t="s">
        <v>1540</v>
      </c>
      <c r="I2890" s="1">
        <v>6517</v>
      </c>
      <c r="J2890" s="1">
        <v>0</v>
      </c>
      <c r="K2890" s="2" t="s">
        <v>867</v>
      </c>
      <c r="L2890" s="43" t="s">
        <v>3347</v>
      </c>
      <c r="P2890" s="41">
        <v>22</v>
      </c>
      <c r="Q2890" s="41">
        <v>4</v>
      </c>
      <c r="R2890" s="41">
        <v>39</v>
      </c>
      <c r="S2890" t="s">
        <v>3321</v>
      </c>
      <c r="AH2890" t="s">
        <v>359</v>
      </c>
    </row>
    <row r="2891" spans="1:34" ht="15.75">
      <c r="A2891" s="29">
        <f t="shared" si="48"/>
        <v>181</v>
      </c>
      <c r="B2891" s="2">
        <v>761</v>
      </c>
      <c r="C2891" s="2">
        <v>3</v>
      </c>
      <c r="D2891" s="2">
        <v>1817</v>
      </c>
      <c r="E2891">
        <v>9661</v>
      </c>
      <c r="H2891" t="s">
        <v>1541</v>
      </c>
      <c r="I2891" s="1">
        <v>181</v>
      </c>
      <c r="J2891" s="1">
        <v>0</v>
      </c>
      <c r="K2891" s="2" t="s">
        <v>867</v>
      </c>
      <c r="L2891" s="43" t="s">
        <v>3631</v>
      </c>
      <c r="P2891" s="41">
        <v>27</v>
      </c>
      <c r="Q2891" s="41">
        <v>8</v>
      </c>
      <c r="R2891" s="41">
        <v>32</v>
      </c>
      <c r="S2891" t="s">
        <v>3321</v>
      </c>
      <c r="AH2891" t="s">
        <v>359</v>
      </c>
    </row>
    <row r="2892" spans="1:34" ht="15.75">
      <c r="A2892" s="29">
        <f t="shared" si="48"/>
        <v>4410</v>
      </c>
      <c r="B2892" s="2">
        <v>761</v>
      </c>
      <c r="C2892" s="2">
        <v>3</v>
      </c>
      <c r="D2892" s="2">
        <v>1817</v>
      </c>
      <c r="E2892">
        <v>9662</v>
      </c>
      <c r="H2892" t="s">
        <v>1540</v>
      </c>
      <c r="I2892" s="1">
        <v>4410</v>
      </c>
      <c r="J2892" s="1">
        <v>0</v>
      </c>
      <c r="K2892" s="2" t="s">
        <v>867</v>
      </c>
      <c r="L2892" s="43" t="s">
        <v>3631</v>
      </c>
      <c r="P2892" s="41">
        <v>23</v>
      </c>
      <c r="Q2892" s="41">
        <v>5</v>
      </c>
      <c r="R2892" s="41">
        <v>82</v>
      </c>
      <c r="S2892" t="s">
        <v>874</v>
      </c>
      <c r="AH2892" t="s">
        <v>359</v>
      </c>
    </row>
    <row r="2893" spans="1:34" ht="15.75">
      <c r="A2893" s="29">
        <f t="shared" si="48"/>
        <v>195</v>
      </c>
      <c r="B2893" s="2">
        <v>762</v>
      </c>
      <c r="C2893" s="2">
        <v>3</v>
      </c>
      <c r="D2893" s="2">
        <v>1817</v>
      </c>
      <c r="E2893">
        <v>9663</v>
      </c>
      <c r="H2893" t="s">
        <v>850</v>
      </c>
      <c r="I2893" s="1">
        <v>195</v>
      </c>
      <c r="J2893" s="1">
        <v>0</v>
      </c>
      <c r="K2893" s="2" t="s">
        <v>867</v>
      </c>
      <c r="L2893" s="43" t="s">
        <v>3631</v>
      </c>
      <c r="P2893" s="41">
        <v>2</v>
      </c>
      <c r="Q2893" s="41">
        <v>10</v>
      </c>
      <c r="R2893" s="41" t="s">
        <v>1547</v>
      </c>
      <c r="S2893" t="s">
        <v>3321</v>
      </c>
      <c r="AH2893" t="s">
        <v>359</v>
      </c>
    </row>
    <row r="2894" spans="1:34" ht="15.75">
      <c r="A2894" s="29">
        <f t="shared" si="48"/>
        <v>130</v>
      </c>
      <c r="B2894" s="2">
        <v>762</v>
      </c>
      <c r="C2894" s="2">
        <v>3</v>
      </c>
      <c r="D2894" s="2">
        <v>1817</v>
      </c>
      <c r="E2894">
        <v>9664</v>
      </c>
      <c r="H2894" t="s">
        <v>1541</v>
      </c>
      <c r="I2894" s="1">
        <v>130</v>
      </c>
      <c r="J2894" s="1">
        <v>0</v>
      </c>
      <c r="K2894" s="2" t="s">
        <v>867</v>
      </c>
      <c r="L2894" s="43" t="s">
        <v>378</v>
      </c>
      <c r="P2894" s="41">
        <v>11</v>
      </c>
      <c r="Q2894" s="41">
        <v>6</v>
      </c>
      <c r="R2894" s="41">
        <v>67</v>
      </c>
      <c r="S2894" t="s">
        <v>874</v>
      </c>
      <c r="AH2894" t="s">
        <v>359</v>
      </c>
    </row>
    <row r="2895" spans="1:34" ht="15.75">
      <c r="A2895" s="29">
        <f t="shared" si="48"/>
        <v>33961</v>
      </c>
      <c r="B2895" s="2">
        <v>762</v>
      </c>
      <c r="C2895" s="2">
        <v>3</v>
      </c>
      <c r="D2895" s="2">
        <v>1817</v>
      </c>
      <c r="E2895">
        <v>9665</v>
      </c>
      <c r="H2895" t="s">
        <v>1549</v>
      </c>
      <c r="I2895" s="1">
        <v>5161</v>
      </c>
      <c r="J2895" s="1">
        <f>1000+440</f>
        <v>1440</v>
      </c>
      <c r="K2895" s="2" t="s">
        <v>867</v>
      </c>
      <c r="L2895" s="43" t="s">
        <v>2076</v>
      </c>
      <c r="M2895" s="41" t="s">
        <v>1324</v>
      </c>
      <c r="N2895" s="41" t="s">
        <v>4212</v>
      </c>
      <c r="O2895" s="41" t="s">
        <v>2077</v>
      </c>
      <c r="P2895" s="41">
        <v>26</v>
      </c>
      <c r="Q2895" s="41">
        <v>7</v>
      </c>
      <c r="R2895" s="41">
        <v>74</v>
      </c>
      <c r="S2895" t="s">
        <v>874</v>
      </c>
      <c r="T2895" t="s">
        <v>1305</v>
      </c>
      <c r="X2895" s="47">
        <v>1</v>
      </c>
      <c r="AH2895" t="s">
        <v>359</v>
      </c>
    </row>
    <row r="2896" spans="1:34" ht="15.75">
      <c r="A2896" s="29">
        <f t="shared" si="48"/>
        <v>123637</v>
      </c>
      <c r="B2896" s="2">
        <v>762</v>
      </c>
      <c r="C2896" s="2">
        <v>3</v>
      </c>
      <c r="D2896" s="2">
        <v>1817</v>
      </c>
      <c r="E2896">
        <v>9666</v>
      </c>
      <c r="H2896" t="s">
        <v>1540</v>
      </c>
      <c r="I2896" s="1">
        <f>8560+3077</f>
        <v>11637</v>
      </c>
      <c r="J2896" s="1">
        <f>+(2900+1600+5500+1200)/2</f>
        <v>5600</v>
      </c>
      <c r="K2896" s="2" t="s">
        <v>867</v>
      </c>
      <c r="L2896" s="43" t="s">
        <v>2707</v>
      </c>
      <c r="M2896" s="41" t="s">
        <v>5316</v>
      </c>
      <c r="N2896" s="41" t="s">
        <v>1545</v>
      </c>
      <c r="O2896" s="41" t="s">
        <v>2073</v>
      </c>
      <c r="P2896" s="41">
        <v>1</v>
      </c>
      <c r="Q2896" s="41">
        <v>7</v>
      </c>
      <c r="R2896" s="41">
        <v>56</v>
      </c>
      <c r="S2896" t="s">
        <v>2074</v>
      </c>
      <c r="T2896" t="s">
        <v>5776</v>
      </c>
      <c r="V2896" t="s">
        <v>899</v>
      </c>
      <c r="X2896">
        <v>1</v>
      </c>
      <c r="Y2896" t="s">
        <v>2075</v>
      </c>
      <c r="AA2896" t="s">
        <v>1218</v>
      </c>
      <c r="AH2896" t="s">
        <v>359</v>
      </c>
    </row>
    <row r="2897" spans="1:34" ht="15.75">
      <c r="A2897" s="29">
        <f t="shared" si="48"/>
        <v>64202</v>
      </c>
      <c r="B2897" s="2">
        <v>762</v>
      </c>
      <c r="C2897" s="2">
        <v>3</v>
      </c>
      <c r="D2897" s="2">
        <v>1817</v>
      </c>
      <c r="E2897">
        <v>9667</v>
      </c>
      <c r="H2897" t="s">
        <v>1541</v>
      </c>
      <c r="I2897" s="1">
        <v>18202</v>
      </c>
      <c r="J2897" s="1">
        <v>4600</v>
      </c>
      <c r="K2897" s="2" t="s">
        <v>867</v>
      </c>
      <c r="L2897" s="43" t="s">
        <v>2078</v>
      </c>
      <c r="M2897" s="41" t="s">
        <v>2689</v>
      </c>
      <c r="N2897" s="41" t="s">
        <v>1545</v>
      </c>
      <c r="O2897" s="41" t="s">
        <v>2079</v>
      </c>
      <c r="S2897" t="s">
        <v>847</v>
      </c>
      <c r="T2897" t="s">
        <v>2943</v>
      </c>
      <c r="V2897" t="s">
        <v>2080</v>
      </c>
      <c r="X2897">
        <v>0.5</v>
      </c>
      <c r="Y2897" t="s">
        <v>2081</v>
      </c>
      <c r="AH2897" t="s">
        <v>359</v>
      </c>
    </row>
    <row r="2898" spans="1:34" ht="15.75">
      <c r="A2898" s="29">
        <f t="shared" si="48"/>
        <v>6250</v>
      </c>
      <c r="B2898" s="2">
        <v>762</v>
      </c>
      <c r="C2898" s="2">
        <v>3</v>
      </c>
      <c r="D2898" s="2">
        <v>1817</v>
      </c>
      <c r="E2898">
        <v>9668</v>
      </c>
      <c r="H2898" t="s">
        <v>1541</v>
      </c>
      <c r="I2898" s="1">
        <v>6250</v>
      </c>
      <c r="J2898" s="1">
        <v>0</v>
      </c>
      <c r="K2898" s="2" t="s">
        <v>867</v>
      </c>
      <c r="L2898" s="43" t="s">
        <v>5915</v>
      </c>
      <c r="P2898" s="41">
        <v>9</v>
      </c>
      <c r="Q2898" s="41">
        <v>2</v>
      </c>
      <c r="R2898" s="41">
        <v>34</v>
      </c>
      <c r="S2898" t="s">
        <v>3321</v>
      </c>
      <c r="AH2898" t="s">
        <v>359</v>
      </c>
    </row>
    <row r="2899" spans="1:34" ht="15.75">
      <c r="A2899" s="29">
        <f t="shared" si="48"/>
        <v>77</v>
      </c>
      <c r="B2899" s="2">
        <v>762</v>
      </c>
      <c r="C2899" s="2">
        <v>3</v>
      </c>
      <c r="D2899" s="2">
        <v>1817</v>
      </c>
      <c r="E2899">
        <v>9669</v>
      </c>
      <c r="H2899" t="s">
        <v>1549</v>
      </c>
      <c r="I2899" s="1">
        <v>77</v>
      </c>
      <c r="J2899" s="1">
        <v>0</v>
      </c>
      <c r="K2899" s="2" t="s">
        <v>867</v>
      </c>
      <c r="L2899" s="43" t="s">
        <v>2082</v>
      </c>
      <c r="P2899" s="41">
        <v>6</v>
      </c>
      <c r="Q2899" s="41">
        <v>4</v>
      </c>
      <c r="R2899" s="41">
        <v>77</v>
      </c>
      <c r="S2899" t="s">
        <v>3321</v>
      </c>
      <c r="AH2899" t="s">
        <v>359</v>
      </c>
    </row>
    <row r="2900" spans="1:34" ht="15.75">
      <c r="A2900" s="29">
        <f t="shared" si="48"/>
        <v>2974</v>
      </c>
      <c r="B2900" s="2">
        <v>762</v>
      </c>
      <c r="C2900" s="2">
        <v>3</v>
      </c>
      <c r="D2900" s="2">
        <v>1817</v>
      </c>
      <c r="E2900">
        <v>9670</v>
      </c>
      <c r="H2900" t="s">
        <v>1540</v>
      </c>
      <c r="I2900" s="1">
        <v>2974</v>
      </c>
      <c r="J2900" s="1">
        <v>0</v>
      </c>
      <c r="K2900" s="2" t="s">
        <v>867</v>
      </c>
      <c r="L2900" s="43" t="s">
        <v>2082</v>
      </c>
      <c r="P2900" s="41">
        <v>12</v>
      </c>
      <c r="Q2900" s="41">
        <v>11</v>
      </c>
      <c r="R2900" s="41">
        <v>80</v>
      </c>
      <c r="S2900" t="s">
        <v>1547</v>
      </c>
      <c r="AH2900" t="s">
        <v>359</v>
      </c>
    </row>
    <row r="2901" spans="1:34" ht="15.75">
      <c r="A2901" s="29">
        <f t="shared" si="48"/>
        <v>1729</v>
      </c>
      <c r="B2901" s="2">
        <v>762</v>
      </c>
      <c r="C2901" s="2">
        <v>3</v>
      </c>
      <c r="D2901" s="2">
        <v>1817</v>
      </c>
      <c r="E2901">
        <v>9671</v>
      </c>
      <c r="H2901" t="s">
        <v>1540</v>
      </c>
      <c r="I2901" s="1">
        <f>1729</f>
        <v>1729</v>
      </c>
      <c r="J2901" s="1">
        <v>0</v>
      </c>
      <c r="K2901" s="2" t="s">
        <v>867</v>
      </c>
      <c r="L2901" s="43" t="s">
        <v>2083</v>
      </c>
      <c r="M2901" s="41" t="s">
        <v>2084</v>
      </c>
      <c r="N2901" s="41" t="s">
        <v>2562</v>
      </c>
      <c r="O2901" s="41" t="s">
        <v>2085</v>
      </c>
      <c r="P2901" s="41">
        <v>30</v>
      </c>
      <c r="Q2901" s="41">
        <v>12</v>
      </c>
      <c r="R2901" s="41">
        <v>69</v>
      </c>
      <c r="S2901" t="s">
        <v>847</v>
      </c>
      <c r="T2901" t="s">
        <v>2086</v>
      </c>
      <c r="V2901" t="s">
        <v>2421</v>
      </c>
      <c r="AH2901" t="s">
        <v>359</v>
      </c>
    </row>
    <row r="2902" spans="1:34" ht="15.75">
      <c r="A2902" s="29">
        <f t="shared" si="48"/>
        <v>8091</v>
      </c>
      <c r="B2902" s="2">
        <v>763</v>
      </c>
      <c r="C2902" s="2">
        <v>3</v>
      </c>
      <c r="D2902" s="2">
        <v>1817</v>
      </c>
      <c r="E2902">
        <v>9672</v>
      </c>
      <c r="H2902" t="s">
        <v>1549</v>
      </c>
      <c r="I2902" s="1">
        <v>8091</v>
      </c>
      <c r="J2902" s="1">
        <v>0</v>
      </c>
      <c r="K2902" s="2" t="s">
        <v>868</v>
      </c>
      <c r="L2902" s="43" t="s">
        <v>5918</v>
      </c>
      <c r="P2902" s="41">
        <v>28</v>
      </c>
      <c r="Q2902" s="41">
        <v>10</v>
      </c>
      <c r="R2902" s="41">
        <v>54</v>
      </c>
      <c r="S2902" t="s">
        <v>3321</v>
      </c>
      <c r="AH2902" t="s">
        <v>359</v>
      </c>
    </row>
    <row r="2903" spans="1:34" ht="15.75">
      <c r="A2903" s="29">
        <f aca="true" t="shared" si="49" ref="A2903:A2961">I2903+J2903*20*X2903</f>
        <v>259581</v>
      </c>
      <c r="B2903" s="8">
        <v>763</v>
      </c>
      <c r="C2903" s="2">
        <v>3</v>
      </c>
      <c r="D2903" s="8">
        <v>1817</v>
      </c>
      <c r="E2903">
        <v>9673</v>
      </c>
      <c r="F2903" s="9"/>
      <c r="G2903" s="7"/>
      <c r="H2903" t="s">
        <v>1540</v>
      </c>
      <c r="I2903" s="8">
        <v>259581</v>
      </c>
      <c r="J2903" s="8">
        <v>0</v>
      </c>
      <c r="K2903" s="2" t="s">
        <v>868</v>
      </c>
      <c r="L2903" s="43" t="s">
        <v>2087</v>
      </c>
      <c r="M2903" s="41" t="s">
        <v>2088</v>
      </c>
      <c r="N2903" s="41" t="s">
        <v>2089</v>
      </c>
      <c r="O2903" s="41" t="s">
        <v>2090</v>
      </c>
      <c r="P2903" s="41">
        <v>16</v>
      </c>
      <c r="Q2903" s="41">
        <v>3</v>
      </c>
      <c r="R2903" s="41">
        <v>63</v>
      </c>
      <c r="S2903" t="s">
        <v>2091</v>
      </c>
      <c r="T2903" t="s">
        <v>2645</v>
      </c>
      <c r="V2903" t="s">
        <v>2092</v>
      </c>
      <c r="AH2903" t="s">
        <v>359</v>
      </c>
    </row>
    <row r="2904" spans="1:34" ht="15.75">
      <c r="A2904" s="29">
        <f t="shared" si="49"/>
        <v>190268</v>
      </c>
      <c r="B2904" s="8">
        <v>763</v>
      </c>
      <c r="C2904" s="2">
        <v>3</v>
      </c>
      <c r="D2904" s="8">
        <v>1817</v>
      </c>
      <c r="E2904">
        <v>9675</v>
      </c>
      <c r="F2904" s="9"/>
      <c r="G2904" s="7"/>
      <c r="H2904" s="9" t="s">
        <v>1541</v>
      </c>
      <c r="I2904" s="8">
        <v>131268</v>
      </c>
      <c r="J2904" s="8">
        <v>2950</v>
      </c>
      <c r="K2904" s="2" t="s">
        <v>868</v>
      </c>
      <c r="L2904" s="43" t="s">
        <v>2093</v>
      </c>
      <c r="M2904" s="41" t="s">
        <v>3153</v>
      </c>
      <c r="N2904" s="41" t="s">
        <v>1555</v>
      </c>
      <c r="O2904" s="41" t="s">
        <v>2094</v>
      </c>
      <c r="P2904" s="41">
        <v>25</v>
      </c>
      <c r="Q2904" s="41">
        <v>4</v>
      </c>
      <c r="R2904" s="41">
        <v>58</v>
      </c>
      <c r="S2904" t="s">
        <v>2095</v>
      </c>
      <c r="T2904" t="s">
        <v>2705</v>
      </c>
      <c r="V2904" t="s">
        <v>936</v>
      </c>
      <c r="X2904">
        <v>1</v>
      </c>
      <c r="Y2904" t="s">
        <v>2094</v>
      </c>
      <c r="AH2904" t="s">
        <v>359</v>
      </c>
    </row>
    <row r="2905" spans="1:34" ht="15.75">
      <c r="A2905" s="29">
        <f t="shared" si="49"/>
        <v>292</v>
      </c>
      <c r="B2905" s="8">
        <v>763</v>
      </c>
      <c r="C2905" s="2">
        <v>3</v>
      </c>
      <c r="D2905" s="8">
        <v>1817</v>
      </c>
      <c r="E2905">
        <v>9676</v>
      </c>
      <c r="F2905" s="9"/>
      <c r="G2905" s="7"/>
      <c r="H2905" t="s">
        <v>1540</v>
      </c>
      <c r="I2905" s="8">
        <v>292</v>
      </c>
      <c r="J2905" s="8">
        <v>0</v>
      </c>
      <c r="K2905" s="2" t="s">
        <v>868</v>
      </c>
      <c r="L2905" s="43" t="s">
        <v>2684</v>
      </c>
      <c r="P2905" s="41">
        <v>2</v>
      </c>
      <c r="Q2905" s="41">
        <v>5</v>
      </c>
      <c r="R2905" s="41">
        <v>69</v>
      </c>
      <c r="S2905" t="s">
        <v>3321</v>
      </c>
      <c r="AH2905" t="s">
        <v>359</v>
      </c>
    </row>
    <row r="2906" spans="1:34" ht="15.75">
      <c r="A2906" s="29">
        <f t="shared" si="49"/>
        <v>634</v>
      </c>
      <c r="B2906" s="8">
        <v>763</v>
      </c>
      <c r="C2906" s="2">
        <v>3</v>
      </c>
      <c r="D2906" s="8">
        <v>1817</v>
      </c>
      <c r="E2906">
        <v>9677</v>
      </c>
      <c r="F2906" s="9"/>
      <c r="G2906" s="7"/>
      <c r="H2906" s="9" t="s">
        <v>1541</v>
      </c>
      <c r="I2906" s="8">
        <v>634</v>
      </c>
      <c r="J2906" s="8">
        <v>0</v>
      </c>
      <c r="K2906" s="2" t="s">
        <v>868</v>
      </c>
      <c r="L2906" s="43" t="s">
        <v>5922</v>
      </c>
      <c r="P2906" s="41">
        <v>8</v>
      </c>
      <c r="Q2906" s="41">
        <v>6</v>
      </c>
      <c r="R2906" s="41">
        <v>76</v>
      </c>
      <c r="S2906" t="s">
        <v>874</v>
      </c>
      <c r="AH2906" t="s">
        <v>359</v>
      </c>
    </row>
    <row r="2907" spans="1:34" ht="15.75">
      <c r="A2907" s="29">
        <f t="shared" si="49"/>
        <v>398</v>
      </c>
      <c r="B2907" s="8">
        <v>763</v>
      </c>
      <c r="C2907" s="2">
        <v>3</v>
      </c>
      <c r="D2907" s="8">
        <v>1817</v>
      </c>
      <c r="E2907">
        <v>9678</v>
      </c>
      <c r="F2907" s="9"/>
      <c r="G2907" s="7"/>
      <c r="H2907" s="9" t="s">
        <v>1541</v>
      </c>
      <c r="I2907" s="8">
        <v>398</v>
      </c>
      <c r="J2907" s="8">
        <v>0</v>
      </c>
      <c r="K2907" s="2" t="s">
        <v>868</v>
      </c>
      <c r="L2907" s="43" t="s">
        <v>5925</v>
      </c>
      <c r="P2907" s="41">
        <v>3</v>
      </c>
      <c r="Q2907" s="41">
        <v>3</v>
      </c>
      <c r="R2907" s="41">
        <v>52</v>
      </c>
      <c r="S2907" t="s">
        <v>3321</v>
      </c>
      <c r="AH2907" t="s">
        <v>359</v>
      </c>
    </row>
    <row r="2908" spans="1:34" ht="15.75">
      <c r="A2908" s="29">
        <f t="shared" si="49"/>
        <v>259</v>
      </c>
      <c r="B2908" s="2">
        <v>764</v>
      </c>
      <c r="C2908" s="2">
        <v>3</v>
      </c>
      <c r="D2908" s="2">
        <v>1817</v>
      </c>
      <c r="E2908">
        <v>9681</v>
      </c>
      <c r="G2908" s="1"/>
      <c r="H2908" t="s">
        <v>1541</v>
      </c>
      <c r="I2908" s="2">
        <v>259</v>
      </c>
      <c r="J2908" s="2">
        <v>0</v>
      </c>
      <c r="K2908" s="2" t="s">
        <v>870</v>
      </c>
      <c r="L2908" s="43" t="s">
        <v>2103</v>
      </c>
      <c r="P2908" s="41">
        <v>12</v>
      </c>
      <c r="Q2908" s="41">
        <v>12</v>
      </c>
      <c r="R2908" s="41">
        <v>70</v>
      </c>
      <c r="S2908" t="s">
        <v>884</v>
      </c>
      <c r="AH2908" t="s">
        <v>359</v>
      </c>
    </row>
    <row r="2909" spans="1:34" ht="15.75">
      <c r="A2909" s="29">
        <f t="shared" si="49"/>
        <v>1235</v>
      </c>
      <c r="B2909" s="2">
        <v>764</v>
      </c>
      <c r="C2909" s="2">
        <v>3</v>
      </c>
      <c r="D2909" s="2">
        <v>1817</v>
      </c>
      <c r="E2909">
        <v>9682</v>
      </c>
      <c r="G2909" s="1"/>
      <c r="H2909" t="s">
        <v>1541</v>
      </c>
      <c r="I2909" s="2">
        <v>1235</v>
      </c>
      <c r="J2909" s="2">
        <v>0</v>
      </c>
      <c r="K2909" s="2" t="s">
        <v>870</v>
      </c>
      <c r="L2909" s="43" t="s">
        <v>2104</v>
      </c>
      <c r="P2909" s="41">
        <v>13</v>
      </c>
      <c r="Q2909" s="41">
        <v>12</v>
      </c>
      <c r="R2909" s="41">
        <v>50</v>
      </c>
      <c r="S2909" t="s">
        <v>3321</v>
      </c>
      <c r="AH2909" t="s">
        <v>359</v>
      </c>
    </row>
    <row r="2910" spans="1:34" ht="15.75">
      <c r="A2910" s="29">
        <f t="shared" si="49"/>
        <v>245</v>
      </c>
      <c r="B2910" s="2">
        <v>764</v>
      </c>
      <c r="C2910" s="2">
        <v>3</v>
      </c>
      <c r="D2910" s="2">
        <v>1817</v>
      </c>
      <c r="E2910">
        <v>9683</v>
      </c>
      <c r="G2910" s="1"/>
      <c r="H2910" t="s">
        <v>1540</v>
      </c>
      <c r="I2910" s="2">
        <v>245</v>
      </c>
      <c r="J2910" s="2">
        <v>0</v>
      </c>
      <c r="K2910" s="2" t="s">
        <v>870</v>
      </c>
      <c r="L2910" s="43" t="s">
        <v>2105</v>
      </c>
      <c r="P2910" s="41">
        <v>17</v>
      </c>
      <c r="Q2910" s="41">
        <v>9</v>
      </c>
      <c r="R2910" s="41">
        <v>68</v>
      </c>
      <c r="S2910" t="s">
        <v>3321</v>
      </c>
      <c r="AH2910" t="s">
        <v>359</v>
      </c>
    </row>
    <row r="2911" spans="1:34" ht="15.75">
      <c r="A2911" s="29">
        <f t="shared" si="49"/>
        <v>300</v>
      </c>
      <c r="B2911" s="2">
        <v>764</v>
      </c>
      <c r="C2911" s="2">
        <v>3</v>
      </c>
      <c r="D2911" s="2">
        <v>1817</v>
      </c>
      <c r="E2911">
        <v>9684</v>
      </c>
      <c r="G2911" s="1"/>
      <c r="H2911" t="s">
        <v>1541</v>
      </c>
      <c r="I2911" s="2">
        <v>300</v>
      </c>
      <c r="J2911" s="2">
        <v>0</v>
      </c>
      <c r="K2911" s="2" t="s">
        <v>870</v>
      </c>
      <c r="L2911" s="43" t="s">
        <v>2298</v>
      </c>
      <c r="P2911" s="41">
        <v>31</v>
      </c>
      <c r="Q2911" s="41">
        <v>5</v>
      </c>
      <c r="R2911" s="41">
        <v>63</v>
      </c>
      <c r="S2911" t="s">
        <v>3321</v>
      </c>
      <c r="AH2911" t="s">
        <v>359</v>
      </c>
    </row>
    <row r="2912" spans="1:34" ht="15.75">
      <c r="A2912" s="29">
        <f t="shared" si="49"/>
        <v>21701</v>
      </c>
      <c r="B2912" s="8">
        <v>764</v>
      </c>
      <c r="C2912" s="8">
        <v>3</v>
      </c>
      <c r="D2912" s="8">
        <v>1817</v>
      </c>
      <c r="E2912">
        <v>9686</v>
      </c>
      <c r="F2912" s="9"/>
      <c r="G2912" s="7"/>
      <c r="H2912" s="9" t="s">
        <v>1541</v>
      </c>
      <c r="I2912" s="8">
        <v>21701</v>
      </c>
      <c r="J2912" s="8">
        <v>0</v>
      </c>
      <c r="K2912" s="2" t="s">
        <v>870</v>
      </c>
      <c r="L2912" s="43" t="s">
        <v>2112</v>
      </c>
      <c r="M2912" s="43" t="s">
        <v>2113</v>
      </c>
      <c r="N2912" s="43" t="s">
        <v>898</v>
      </c>
      <c r="O2912" s="43" t="s">
        <v>2114</v>
      </c>
      <c r="P2912" s="43">
        <v>5</v>
      </c>
      <c r="Q2912" s="41">
        <v>5</v>
      </c>
      <c r="R2912" s="41">
        <v>69</v>
      </c>
      <c r="S2912" t="s">
        <v>2115</v>
      </c>
      <c r="T2912" t="s">
        <v>2116</v>
      </c>
      <c r="V2912" t="s">
        <v>2117</v>
      </c>
      <c r="AH2912" t="s">
        <v>359</v>
      </c>
    </row>
    <row r="2913" spans="1:34" ht="15.75">
      <c r="A2913" s="29">
        <f t="shared" si="49"/>
        <v>44</v>
      </c>
      <c r="B2913" s="2">
        <v>765</v>
      </c>
      <c r="C2913" s="8">
        <v>3</v>
      </c>
      <c r="D2913" s="2">
        <v>1817</v>
      </c>
      <c r="E2913">
        <v>9688</v>
      </c>
      <c r="H2913" t="s">
        <v>1540</v>
      </c>
      <c r="I2913" s="1">
        <v>44</v>
      </c>
      <c r="J2913" s="1">
        <v>0</v>
      </c>
      <c r="K2913" s="2" t="s">
        <v>870</v>
      </c>
      <c r="L2913" s="43" t="s">
        <v>2303</v>
      </c>
      <c r="P2913" s="41">
        <v>23</v>
      </c>
      <c r="Q2913" s="41">
        <v>12</v>
      </c>
      <c r="R2913" s="41">
        <v>85</v>
      </c>
      <c r="S2913" t="s">
        <v>3321</v>
      </c>
      <c r="AH2913" t="s">
        <v>359</v>
      </c>
    </row>
    <row r="2914" spans="1:34" ht="15.75">
      <c r="A2914" s="29">
        <f t="shared" si="49"/>
        <v>133</v>
      </c>
      <c r="B2914" s="2">
        <v>765</v>
      </c>
      <c r="C2914" s="8">
        <v>3</v>
      </c>
      <c r="D2914" s="2">
        <v>1817</v>
      </c>
      <c r="E2914">
        <v>9689</v>
      </c>
      <c r="H2914" t="s">
        <v>1540</v>
      </c>
      <c r="I2914" s="1">
        <v>133</v>
      </c>
      <c r="J2914" s="1">
        <v>0</v>
      </c>
      <c r="K2914" s="2" t="s">
        <v>870</v>
      </c>
      <c r="L2914" s="43" t="s">
        <v>2313</v>
      </c>
      <c r="P2914" s="41">
        <v>25</v>
      </c>
      <c r="Q2914" s="41">
        <v>3</v>
      </c>
      <c r="R2914" s="41">
        <v>56</v>
      </c>
      <c r="S2914" t="s">
        <v>3321</v>
      </c>
      <c r="AH2914" t="s">
        <v>359</v>
      </c>
    </row>
    <row r="2915" spans="1:34" ht="15.75">
      <c r="A2915" s="29">
        <f t="shared" si="49"/>
        <v>16597</v>
      </c>
      <c r="B2915" s="8">
        <v>765</v>
      </c>
      <c r="C2915" s="8">
        <v>3</v>
      </c>
      <c r="D2915" s="8">
        <v>1817</v>
      </c>
      <c r="E2915">
        <v>9690</v>
      </c>
      <c r="F2915" s="9"/>
      <c r="G2915" s="9"/>
      <c r="H2915" s="9" t="s">
        <v>1540</v>
      </c>
      <c r="I2915" s="7">
        <v>16597</v>
      </c>
      <c r="J2915" s="7">
        <v>0</v>
      </c>
      <c r="K2915" s="2" t="s">
        <v>870</v>
      </c>
      <c r="L2915" s="43" t="s">
        <v>2313</v>
      </c>
      <c r="P2915" s="41">
        <v>17</v>
      </c>
      <c r="Q2915" s="41">
        <v>4</v>
      </c>
      <c r="R2915" s="41">
        <v>63</v>
      </c>
      <c r="S2915" t="s">
        <v>3321</v>
      </c>
      <c r="AH2915" t="s">
        <v>359</v>
      </c>
    </row>
    <row r="2916" spans="1:34" ht="15.75">
      <c r="A2916" s="29">
        <f t="shared" si="49"/>
        <v>69</v>
      </c>
      <c r="B2916" s="2">
        <v>765</v>
      </c>
      <c r="C2916" s="8">
        <v>3</v>
      </c>
      <c r="D2916" s="2">
        <v>1817</v>
      </c>
      <c r="E2916">
        <v>9691</v>
      </c>
      <c r="H2916" t="s">
        <v>1540</v>
      </c>
      <c r="I2916" s="1">
        <v>69</v>
      </c>
      <c r="J2916" s="1">
        <v>0</v>
      </c>
      <c r="K2916" s="2" t="s">
        <v>870</v>
      </c>
      <c r="L2916" s="43" t="s">
        <v>2313</v>
      </c>
      <c r="P2916" s="41">
        <v>6</v>
      </c>
      <c r="Q2916" s="41">
        <v>12</v>
      </c>
      <c r="R2916" s="41">
        <v>64</v>
      </c>
      <c r="S2916" t="s">
        <v>874</v>
      </c>
      <c r="AH2916" t="s">
        <v>359</v>
      </c>
    </row>
    <row r="2917" spans="1:34" ht="15.75">
      <c r="A2917" s="29">
        <f t="shared" si="49"/>
        <v>368</v>
      </c>
      <c r="B2917" s="2">
        <v>765</v>
      </c>
      <c r="C2917" s="8">
        <v>3</v>
      </c>
      <c r="D2917" s="2">
        <v>1817</v>
      </c>
      <c r="E2917">
        <v>9692</v>
      </c>
      <c r="H2917" t="s">
        <v>850</v>
      </c>
      <c r="I2917" s="1">
        <v>368</v>
      </c>
      <c r="J2917" s="1">
        <v>0</v>
      </c>
      <c r="K2917" s="2" t="s">
        <v>870</v>
      </c>
      <c r="L2917" s="43" t="s">
        <v>2787</v>
      </c>
      <c r="P2917" s="41">
        <v>10</v>
      </c>
      <c r="Q2917" s="41">
        <v>4</v>
      </c>
      <c r="R2917" s="41">
        <v>35</v>
      </c>
      <c r="S2917" t="s">
        <v>3321</v>
      </c>
      <c r="AH2917" t="s">
        <v>359</v>
      </c>
    </row>
    <row r="2918" spans="1:34" ht="15.75">
      <c r="A2918" s="29">
        <f t="shared" si="49"/>
        <v>22</v>
      </c>
      <c r="B2918" s="2">
        <v>766</v>
      </c>
      <c r="C2918" s="2">
        <v>3</v>
      </c>
      <c r="D2918" s="2">
        <v>1817</v>
      </c>
      <c r="E2918">
        <v>9694</v>
      </c>
      <c r="G2918" s="1"/>
      <c r="H2918" t="s">
        <v>1541</v>
      </c>
      <c r="I2918" s="2">
        <v>22</v>
      </c>
      <c r="J2918" s="2">
        <v>0</v>
      </c>
      <c r="K2918" s="2" t="s">
        <v>870</v>
      </c>
      <c r="L2918" s="43" t="s">
        <v>1378</v>
      </c>
      <c r="P2918" s="41">
        <v>28</v>
      </c>
      <c r="Q2918" s="41">
        <v>11</v>
      </c>
      <c r="R2918" s="41">
        <v>40</v>
      </c>
      <c r="S2918" t="s">
        <v>3321</v>
      </c>
      <c r="AH2918" t="s">
        <v>359</v>
      </c>
    </row>
    <row r="2919" spans="1:34" ht="15.75">
      <c r="A2919" s="29">
        <f t="shared" si="49"/>
        <v>77381</v>
      </c>
      <c r="B2919" s="8">
        <v>766</v>
      </c>
      <c r="C2919" s="8">
        <v>3</v>
      </c>
      <c r="D2919" s="8">
        <v>1817</v>
      </c>
      <c r="E2919">
        <v>9695</v>
      </c>
      <c r="F2919" s="9"/>
      <c r="G2919" s="7"/>
      <c r="H2919" s="9" t="s">
        <v>1540</v>
      </c>
      <c r="I2919" s="8">
        <f>5677+11460+60244</f>
        <v>77381</v>
      </c>
      <c r="J2919" s="8">
        <v>0</v>
      </c>
      <c r="K2919" s="2" t="s">
        <v>870</v>
      </c>
      <c r="L2919" s="43" t="s">
        <v>2123</v>
      </c>
      <c r="M2919" s="41" t="s">
        <v>2124</v>
      </c>
      <c r="N2919" s="41" t="s">
        <v>2125</v>
      </c>
      <c r="O2919" s="41" t="s">
        <v>2126</v>
      </c>
      <c r="P2919" s="41">
        <v>30</v>
      </c>
      <c r="Q2919" s="41">
        <v>12</v>
      </c>
      <c r="R2919" s="41" t="s">
        <v>1547</v>
      </c>
      <c r="S2919" t="s">
        <v>2127</v>
      </c>
      <c r="T2919" t="s">
        <v>4649</v>
      </c>
      <c r="V2919" t="s">
        <v>2128</v>
      </c>
      <c r="AH2919" t="s">
        <v>359</v>
      </c>
    </row>
    <row r="2920" spans="1:34" ht="15.75">
      <c r="A2920" s="29">
        <f t="shared" si="49"/>
        <v>133</v>
      </c>
      <c r="B2920" s="2">
        <v>766</v>
      </c>
      <c r="C2920" s="2">
        <v>3</v>
      </c>
      <c r="D2920" s="2">
        <v>1817</v>
      </c>
      <c r="E2920">
        <v>9696</v>
      </c>
      <c r="G2920" s="1"/>
      <c r="H2920" t="s">
        <v>1540</v>
      </c>
      <c r="I2920" s="2">
        <v>133</v>
      </c>
      <c r="J2920" s="2">
        <v>0</v>
      </c>
      <c r="K2920" s="2" t="s">
        <v>870</v>
      </c>
      <c r="L2920" s="43" t="s">
        <v>2309</v>
      </c>
      <c r="P2920" s="41">
        <v>26</v>
      </c>
      <c r="Q2920" s="41">
        <v>7</v>
      </c>
      <c r="R2920" s="41">
        <v>40</v>
      </c>
      <c r="S2920" t="s">
        <v>3321</v>
      </c>
      <c r="AH2920" t="s">
        <v>359</v>
      </c>
    </row>
    <row r="2921" spans="1:34" ht="15.75">
      <c r="A2921" s="29">
        <f t="shared" si="49"/>
        <v>2333</v>
      </c>
      <c r="B2921" s="2">
        <v>766</v>
      </c>
      <c r="C2921" s="2">
        <v>3</v>
      </c>
      <c r="D2921" s="2">
        <v>1817</v>
      </c>
      <c r="E2921">
        <v>9697</v>
      </c>
      <c r="G2921" s="1"/>
      <c r="H2921" t="s">
        <v>1540</v>
      </c>
      <c r="I2921" s="2">
        <v>2333</v>
      </c>
      <c r="J2921" s="2">
        <v>0</v>
      </c>
      <c r="K2921" s="2" t="s">
        <v>870</v>
      </c>
      <c r="L2921" s="43" t="s">
        <v>2310</v>
      </c>
      <c r="P2921" s="41">
        <v>25</v>
      </c>
      <c r="Q2921" s="41">
        <v>9</v>
      </c>
      <c r="R2921" s="41">
        <v>48</v>
      </c>
      <c r="S2921" t="s">
        <v>3321</v>
      </c>
      <c r="AH2921" t="s">
        <v>359</v>
      </c>
    </row>
    <row r="2922" spans="1:34" ht="15.75">
      <c r="A2922" s="29">
        <f t="shared" si="49"/>
        <v>436</v>
      </c>
      <c r="B2922" s="2">
        <v>766</v>
      </c>
      <c r="C2922" s="2">
        <v>3</v>
      </c>
      <c r="D2922" s="2">
        <v>1817</v>
      </c>
      <c r="E2922">
        <v>9698</v>
      </c>
      <c r="G2922" s="1"/>
      <c r="H2922" t="s">
        <v>1540</v>
      </c>
      <c r="I2922" s="2">
        <v>436</v>
      </c>
      <c r="J2922" s="2">
        <v>0</v>
      </c>
      <c r="K2922" s="2" t="s">
        <v>870</v>
      </c>
      <c r="L2922" s="43" t="s">
        <v>2310</v>
      </c>
      <c r="P2922" s="41">
        <v>4</v>
      </c>
      <c r="Q2922" s="41">
        <v>11</v>
      </c>
      <c r="R2922" s="41">
        <v>37</v>
      </c>
      <c r="S2922" t="s">
        <v>3321</v>
      </c>
      <c r="AH2922" t="s">
        <v>359</v>
      </c>
    </row>
    <row r="2923" spans="1:34" ht="15.75">
      <c r="A2923" s="29">
        <f t="shared" si="49"/>
        <v>5292</v>
      </c>
      <c r="B2923" s="2">
        <v>766</v>
      </c>
      <c r="C2923" s="2">
        <v>3</v>
      </c>
      <c r="D2923" s="2">
        <v>1817</v>
      </c>
      <c r="E2923">
        <v>9699</v>
      </c>
      <c r="G2923" s="1"/>
      <c r="H2923" t="s">
        <v>1549</v>
      </c>
      <c r="I2923" s="2">
        <v>5292</v>
      </c>
      <c r="J2923" s="2">
        <v>0</v>
      </c>
      <c r="K2923" s="2" t="s">
        <v>870</v>
      </c>
      <c r="L2923" s="43" t="s">
        <v>2311</v>
      </c>
      <c r="P2923" s="41">
        <v>25</v>
      </c>
      <c r="Q2923" s="41">
        <v>9</v>
      </c>
      <c r="R2923" s="41">
        <v>47</v>
      </c>
      <c r="S2923" t="s">
        <v>3321</v>
      </c>
      <c r="AH2923" t="s">
        <v>359</v>
      </c>
    </row>
    <row r="2924" spans="1:34" ht="15.75">
      <c r="A2924" s="29">
        <f t="shared" si="49"/>
        <v>10378</v>
      </c>
      <c r="B2924" s="2">
        <v>766</v>
      </c>
      <c r="C2924" s="2">
        <v>3</v>
      </c>
      <c r="D2924" s="2">
        <v>1817</v>
      </c>
      <c r="E2924">
        <v>9700</v>
      </c>
      <c r="G2924" s="1"/>
      <c r="H2924" t="s">
        <v>1540</v>
      </c>
      <c r="I2924" s="2">
        <v>10378</v>
      </c>
      <c r="J2924" s="2">
        <v>0</v>
      </c>
      <c r="K2924" s="2" t="s">
        <v>870</v>
      </c>
      <c r="L2924" s="43" t="s">
        <v>2321</v>
      </c>
      <c r="P2924" s="41">
        <v>12</v>
      </c>
      <c r="Q2924" s="41">
        <v>7</v>
      </c>
      <c r="R2924" s="41">
        <v>77</v>
      </c>
      <c r="S2924" t="s">
        <v>2129</v>
      </c>
      <c r="AH2924" t="s">
        <v>359</v>
      </c>
    </row>
    <row r="2925" spans="1:34" ht="15.75">
      <c r="A2925" s="29">
        <f t="shared" si="49"/>
        <v>1604</v>
      </c>
      <c r="B2925" s="2">
        <v>766</v>
      </c>
      <c r="C2925" s="2">
        <v>3</v>
      </c>
      <c r="D2925" s="2">
        <v>1817</v>
      </c>
      <c r="E2925">
        <v>9701</v>
      </c>
      <c r="G2925" s="1"/>
      <c r="H2925" t="s">
        <v>1541</v>
      </c>
      <c r="I2925" s="2">
        <v>1604</v>
      </c>
      <c r="J2925" s="2">
        <v>0</v>
      </c>
      <c r="K2925" s="2" t="s">
        <v>870</v>
      </c>
      <c r="L2925" s="43" t="s">
        <v>1491</v>
      </c>
      <c r="P2925" s="41">
        <v>11</v>
      </c>
      <c r="Q2925" s="41">
        <v>6</v>
      </c>
      <c r="R2925" s="41">
        <v>84</v>
      </c>
      <c r="S2925" t="s">
        <v>874</v>
      </c>
      <c r="AH2925" t="s">
        <v>359</v>
      </c>
    </row>
    <row r="2926" spans="1:34" ht="15.75">
      <c r="A2926" s="29">
        <f t="shared" si="49"/>
        <v>71</v>
      </c>
      <c r="B2926" s="2">
        <v>766</v>
      </c>
      <c r="C2926" s="2">
        <v>3</v>
      </c>
      <c r="D2926" s="2">
        <v>1817</v>
      </c>
      <c r="E2926">
        <v>9702</v>
      </c>
      <c r="G2926" s="1"/>
      <c r="H2926" t="s">
        <v>1541</v>
      </c>
      <c r="I2926" s="2">
        <v>71</v>
      </c>
      <c r="J2926" s="2">
        <v>0</v>
      </c>
      <c r="K2926" s="2" t="s">
        <v>870</v>
      </c>
      <c r="L2926" s="43" t="s">
        <v>1491</v>
      </c>
      <c r="P2926" s="41">
        <v>6</v>
      </c>
      <c r="Q2926" s="41">
        <v>10</v>
      </c>
      <c r="R2926" s="41">
        <v>69</v>
      </c>
      <c r="S2926" t="s">
        <v>874</v>
      </c>
      <c r="AH2926" t="s">
        <v>359</v>
      </c>
    </row>
    <row r="2927" spans="1:34" ht="15.75">
      <c r="A2927" s="29">
        <f t="shared" si="49"/>
        <v>54</v>
      </c>
      <c r="B2927" s="2">
        <v>766</v>
      </c>
      <c r="C2927" s="2">
        <v>3</v>
      </c>
      <c r="D2927" s="2">
        <v>1817</v>
      </c>
      <c r="E2927">
        <v>9703</v>
      </c>
      <c r="G2927" s="1"/>
      <c r="H2927" t="s">
        <v>1541</v>
      </c>
      <c r="I2927" s="2">
        <v>54</v>
      </c>
      <c r="J2927" s="2">
        <v>0</v>
      </c>
      <c r="K2927" s="2" t="s">
        <v>870</v>
      </c>
      <c r="L2927" s="43" t="s">
        <v>2786</v>
      </c>
      <c r="P2927" s="41">
        <v>29</v>
      </c>
      <c r="Q2927" s="41">
        <v>9</v>
      </c>
      <c r="R2927" s="41" t="s">
        <v>1547</v>
      </c>
      <c r="S2927" t="s">
        <v>3321</v>
      </c>
      <c r="AH2927" t="s">
        <v>359</v>
      </c>
    </row>
    <row r="2928" spans="1:34" ht="15.75">
      <c r="A2928" s="29">
        <f t="shared" si="49"/>
        <v>257</v>
      </c>
      <c r="B2928" s="2">
        <v>766</v>
      </c>
      <c r="C2928" s="2">
        <v>3</v>
      </c>
      <c r="D2928" s="2">
        <v>1817</v>
      </c>
      <c r="E2928">
        <v>9704</v>
      </c>
      <c r="G2928" s="1"/>
      <c r="H2928" t="s">
        <v>1541</v>
      </c>
      <c r="I2928" s="2">
        <v>257</v>
      </c>
      <c r="J2928" s="2">
        <v>0</v>
      </c>
      <c r="K2928" s="2" t="s">
        <v>870</v>
      </c>
      <c r="L2928" s="43" t="s">
        <v>2130</v>
      </c>
      <c r="P2928" s="41">
        <v>7</v>
      </c>
      <c r="Q2928" s="41">
        <v>7</v>
      </c>
      <c r="R2928" s="41">
        <v>17</v>
      </c>
      <c r="S2928" t="s">
        <v>884</v>
      </c>
      <c r="AH2928" t="s">
        <v>359</v>
      </c>
    </row>
    <row r="2929" spans="1:34" ht="15.75">
      <c r="A2929" s="29">
        <f t="shared" si="49"/>
        <v>129</v>
      </c>
      <c r="B2929" s="2">
        <v>766</v>
      </c>
      <c r="C2929" s="2">
        <v>3</v>
      </c>
      <c r="D2929" s="2">
        <v>1817</v>
      </c>
      <c r="E2929">
        <v>9705</v>
      </c>
      <c r="G2929" s="1"/>
      <c r="H2929" t="s">
        <v>1541</v>
      </c>
      <c r="I2929" s="2">
        <v>129</v>
      </c>
      <c r="J2929" s="2">
        <v>0</v>
      </c>
      <c r="K2929" s="2" t="s">
        <v>870</v>
      </c>
      <c r="L2929" s="43" t="s">
        <v>4326</v>
      </c>
      <c r="P2929" s="41">
        <v>7</v>
      </c>
      <c r="Q2929" s="41">
        <v>9</v>
      </c>
      <c r="R2929" s="41">
        <v>32</v>
      </c>
      <c r="S2929" t="s">
        <v>3321</v>
      </c>
      <c r="AH2929" t="s">
        <v>359</v>
      </c>
    </row>
    <row r="2930" spans="1:34" ht="15.75">
      <c r="A2930" s="29">
        <f t="shared" si="49"/>
        <v>1570</v>
      </c>
      <c r="B2930" s="2">
        <v>766</v>
      </c>
      <c r="C2930" s="2">
        <v>3</v>
      </c>
      <c r="D2930" s="2">
        <v>1817</v>
      </c>
      <c r="E2930">
        <v>9707</v>
      </c>
      <c r="G2930" s="1"/>
      <c r="H2930" t="s">
        <v>1541</v>
      </c>
      <c r="I2930" s="2">
        <v>1570</v>
      </c>
      <c r="J2930" s="2">
        <v>0</v>
      </c>
      <c r="K2930" s="2" t="s">
        <v>870</v>
      </c>
      <c r="L2930" s="43" t="s">
        <v>4191</v>
      </c>
      <c r="P2930" s="41">
        <v>20</v>
      </c>
      <c r="Q2930" s="41">
        <v>1</v>
      </c>
      <c r="R2930" s="41">
        <v>86</v>
      </c>
      <c r="S2930" t="s">
        <v>874</v>
      </c>
      <c r="AH2930" t="s">
        <v>359</v>
      </c>
    </row>
    <row r="2931" spans="1:34" ht="15.75">
      <c r="A2931" s="29">
        <f t="shared" si="49"/>
        <v>14019</v>
      </c>
      <c r="B2931" s="8">
        <v>766</v>
      </c>
      <c r="C2931" s="8">
        <v>3</v>
      </c>
      <c r="D2931" s="8">
        <v>1817</v>
      </c>
      <c r="E2931">
        <v>9708</v>
      </c>
      <c r="F2931" s="9"/>
      <c r="G2931" s="7"/>
      <c r="H2931" s="9" t="s">
        <v>1540</v>
      </c>
      <c r="I2931" s="8">
        <v>2019</v>
      </c>
      <c r="J2931" s="8">
        <v>600</v>
      </c>
      <c r="K2931" s="2" t="s">
        <v>870</v>
      </c>
      <c r="L2931" s="43" t="s">
        <v>4191</v>
      </c>
      <c r="P2931" s="41">
        <v>18</v>
      </c>
      <c r="Q2931" s="41">
        <v>9</v>
      </c>
      <c r="R2931" s="41">
        <v>53</v>
      </c>
      <c r="S2931" t="s">
        <v>3321</v>
      </c>
      <c r="X2931">
        <v>1</v>
      </c>
      <c r="Y2931" t="s">
        <v>2139</v>
      </c>
      <c r="AH2931" t="s">
        <v>359</v>
      </c>
    </row>
    <row r="2932" spans="1:34" ht="15.75">
      <c r="A2932" s="29">
        <f t="shared" si="49"/>
        <v>51217</v>
      </c>
      <c r="B2932" s="8">
        <v>766</v>
      </c>
      <c r="C2932" s="8">
        <v>3</v>
      </c>
      <c r="D2932" s="8">
        <v>1817</v>
      </c>
      <c r="E2932">
        <v>9709</v>
      </c>
      <c r="F2932" s="9"/>
      <c r="G2932" s="7"/>
      <c r="H2932" s="9" t="s">
        <v>1541</v>
      </c>
      <c r="I2932" s="8">
        <v>33217</v>
      </c>
      <c r="J2932" s="8">
        <v>900</v>
      </c>
      <c r="K2932" s="2" t="s">
        <v>870</v>
      </c>
      <c r="L2932" s="43" t="s">
        <v>2135</v>
      </c>
      <c r="M2932" s="41" t="s">
        <v>4643</v>
      </c>
      <c r="N2932" s="41" t="s">
        <v>1555</v>
      </c>
      <c r="O2932" s="41" t="s">
        <v>2136</v>
      </c>
      <c r="P2932" s="41">
        <v>23</v>
      </c>
      <c r="Q2932" s="41">
        <v>6</v>
      </c>
      <c r="R2932" s="41">
        <v>62</v>
      </c>
      <c r="S2932" t="s">
        <v>2137</v>
      </c>
      <c r="T2932" t="s">
        <v>5911</v>
      </c>
      <c r="V2932" t="s">
        <v>2138</v>
      </c>
      <c r="X2932">
        <v>1</v>
      </c>
      <c r="Y2932" t="s">
        <v>2136</v>
      </c>
      <c r="AH2932" t="s">
        <v>359</v>
      </c>
    </row>
    <row r="2933" spans="1:34" ht="15.75">
      <c r="A2933" s="29">
        <f t="shared" si="49"/>
        <v>50928</v>
      </c>
      <c r="B2933" s="8">
        <v>767</v>
      </c>
      <c r="C2933" s="8">
        <v>3</v>
      </c>
      <c r="D2933" s="8">
        <v>1817</v>
      </c>
      <c r="E2933">
        <v>9710</v>
      </c>
      <c r="F2933" s="9"/>
      <c r="G2933" s="7"/>
      <c r="H2933" s="9" t="s">
        <v>1541</v>
      </c>
      <c r="I2933" s="8">
        <v>16928</v>
      </c>
      <c r="J2933" s="8">
        <v>1700</v>
      </c>
      <c r="K2933" s="2" t="s">
        <v>870</v>
      </c>
      <c r="L2933" s="43" t="s">
        <v>2140</v>
      </c>
      <c r="M2933" s="41" t="s">
        <v>1371</v>
      </c>
      <c r="N2933" s="41" t="s">
        <v>1555</v>
      </c>
      <c r="O2933" s="41" t="s">
        <v>2141</v>
      </c>
      <c r="P2933" s="41">
        <v>12</v>
      </c>
      <c r="Q2933" s="41">
        <v>4</v>
      </c>
      <c r="R2933" s="41">
        <v>73</v>
      </c>
      <c r="S2933" t="s">
        <v>2142</v>
      </c>
      <c r="T2933" t="s">
        <v>4938</v>
      </c>
      <c r="V2933" t="s">
        <v>5056</v>
      </c>
      <c r="X2933">
        <v>1</v>
      </c>
      <c r="Y2933" t="s">
        <v>2141</v>
      </c>
      <c r="AH2933" t="s">
        <v>359</v>
      </c>
    </row>
    <row r="2934" spans="1:34" ht="15.75">
      <c r="A2934" s="29">
        <f t="shared" si="49"/>
        <v>9097</v>
      </c>
      <c r="B2934" s="8">
        <v>767</v>
      </c>
      <c r="C2934" s="8">
        <v>3</v>
      </c>
      <c r="D2934" s="8">
        <v>1817</v>
      </c>
      <c r="E2934">
        <v>9711</v>
      </c>
      <c r="F2934" s="9"/>
      <c r="G2934" s="7"/>
      <c r="H2934" s="9" t="s">
        <v>1540</v>
      </c>
      <c r="I2934" s="9">
        <v>9097</v>
      </c>
      <c r="J2934" s="8">
        <v>0</v>
      </c>
      <c r="K2934" s="2" t="s">
        <v>870</v>
      </c>
      <c r="L2934" s="43" t="s">
        <v>4209</v>
      </c>
      <c r="P2934" s="41">
        <v>10</v>
      </c>
      <c r="Q2934" s="41">
        <v>10</v>
      </c>
      <c r="R2934" s="41">
        <v>70</v>
      </c>
      <c r="S2934" t="s">
        <v>3321</v>
      </c>
      <c r="AH2934" t="s">
        <v>359</v>
      </c>
    </row>
    <row r="2935" spans="1:34" ht="15.75">
      <c r="A2935" s="29">
        <f t="shared" si="49"/>
        <v>67</v>
      </c>
      <c r="B2935" s="8">
        <v>767</v>
      </c>
      <c r="C2935" s="8">
        <v>3</v>
      </c>
      <c r="D2935" s="8">
        <v>1817</v>
      </c>
      <c r="E2935">
        <v>9713</v>
      </c>
      <c r="F2935" s="9"/>
      <c r="G2935" s="7"/>
      <c r="H2935" s="9" t="s">
        <v>1541</v>
      </c>
      <c r="I2935" s="8">
        <v>67</v>
      </c>
      <c r="J2935" s="8">
        <v>0</v>
      </c>
      <c r="K2935" s="2" t="s">
        <v>870</v>
      </c>
      <c r="L2935" s="43" t="s">
        <v>4212</v>
      </c>
      <c r="P2935" s="41">
        <v>18</v>
      </c>
      <c r="Q2935" s="41">
        <v>2</v>
      </c>
      <c r="R2935" s="41">
        <v>40</v>
      </c>
      <c r="S2935" t="s">
        <v>3321</v>
      </c>
      <c r="AH2935" t="s">
        <v>359</v>
      </c>
    </row>
    <row r="2936" spans="1:34" ht="15.75">
      <c r="A2936" s="29">
        <f t="shared" si="49"/>
        <v>12743</v>
      </c>
      <c r="B2936" s="8">
        <v>767</v>
      </c>
      <c r="C2936" s="8">
        <v>3</v>
      </c>
      <c r="D2936" s="8">
        <v>1817</v>
      </c>
      <c r="E2936">
        <v>9714</v>
      </c>
      <c r="F2936" s="9"/>
      <c r="G2936" s="7"/>
      <c r="H2936" s="9" t="s">
        <v>1540</v>
      </c>
      <c r="I2936" s="8">
        <v>12743</v>
      </c>
      <c r="J2936" s="8">
        <v>0</v>
      </c>
      <c r="K2936" s="2" t="s">
        <v>870</v>
      </c>
      <c r="L2936" s="43" t="s">
        <v>4212</v>
      </c>
      <c r="P2936" s="41">
        <v>27</v>
      </c>
      <c r="Q2936" s="41">
        <v>8</v>
      </c>
      <c r="R2936" s="41">
        <v>84</v>
      </c>
      <c r="S2936" t="s">
        <v>874</v>
      </c>
      <c r="AH2936" t="s">
        <v>359</v>
      </c>
    </row>
    <row r="2937" spans="1:34" ht="15.75">
      <c r="A2937" s="29">
        <f t="shared" si="49"/>
        <v>1245</v>
      </c>
      <c r="B2937" s="2">
        <v>767</v>
      </c>
      <c r="C2937" s="2">
        <v>3</v>
      </c>
      <c r="D2937" s="2">
        <v>1817</v>
      </c>
      <c r="E2937">
        <v>9716</v>
      </c>
      <c r="G2937" s="1"/>
      <c r="H2937" t="s">
        <v>1540</v>
      </c>
      <c r="I2937" s="2">
        <f>245+1000</f>
        <v>1245</v>
      </c>
      <c r="J2937" s="2">
        <v>0</v>
      </c>
      <c r="K2937" s="2" t="s">
        <v>870</v>
      </c>
      <c r="L2937" s="43" t="s">
        <v>3785</v>
      </c>
      <c r="P2937" s="41">
        <v>9</v>
      </c>
      <c r="Q2937" s="41">
        <v>6</v>
      </c>
      <c r="R2937" s="41">
        <v>63</v>
      </c>
      <c r="S2937" t="s">
        <v>3321</v>
      </c>
      <c r="AH2937" t="s">
        <v>359</v>
      </c>
    </row>
    <row r="2938" spans="1:34" ht="15.75">
      <c r="A2938" s="29">
        <f t="shared" si="49"/>
        <v>5100</v>
      </c>
      <c r="B2938" s="2">
        <v>768</v>
      </c>
      <c r="C2938" s="8">
        <v>3</v>
      </c>
      <c r="D2938" s="2">
        <v>1817</v>
      </c>
      <c r="E2938">
        <v>9717</v>
      </c>
      <c r="H2938" t="s">
        <v>1541</v>
      </c>
      <c r="I2938" s="1">
        <v>5100</v>
      </c>
      <c r="J2938" s="1">
        <v>0</v>
      </c>
      <c r="K2938" s="1" t="s">
        <v>871</v>
      </c>
      <c r="L2938" s="43" t="s">
        <v>4219</v>
      </c>
      <c r="P2938" s="41">
        <v>1</v>
      </c>
      <c r="Q2938" s="41">
        <v>9</v>
      </c>
      <c r="R2938" s="41">
        <v>18</v>
      </c>
      <c r="S2938" t="s">
        <v>3321</v>
      </c>
      <c r="AH2938" t="s">
        <v>359</v>
      </c>
    </row>
    <row r="2939" spans="1:34" ht="15.75">
      <c r="A2939" s="29">
        <f t="shared" si="49"/>
        <v>60</v>
      </c>
      <c r="B2939" s="2">
        <v>768</v>
      </c>
      <c r="C2939" s="8">
        <v>3</v>
      </c>
      <c r="D2939" s="2">
        <v>1817</v>
      </c>
      <c r="E2939">
        <v>9719</v>
      </c>
      <c r="H2939" t="s">
        <v>1541</v>
      </c>
      <c r="I2939" s="1">
        <v>60</v>
      </c>
      <c r="J2939" s="1">
        <v>0</v>
      </c>
      <c r="K2939" s="1" t="s">
        <v>871</v>
      </c>
      <c r="L2939" s="43" t="s">
        <v>4804</v>
      </c>
      <c r="P2939" s="41">
        <v>26</v>
      </c>
      <c r="Q2939" s="41">
        <v>10</v>
      </c>
      <c r="R2939" s="41">
        <v>78</v>
      </c>
      <c r="S2939" t="s">
        <v>874</v>
      </c>
      <c r="AH2939" t="s">
        <v>359</v>
      </c>
    </row>
    <row r="2940" spans="1:34" ht="15.75">
      <c r="A2940" s="29">
        <f t="shared" si="49"/>
        <v>1730</v>
      </c>
      <c r="B2940" s="2">
        <v>768</v>
      </c>
      <c r="C2940" s="8">
        <v>3</v>
      </c>
      <c r="D2940" s="2">
        <v>1817</v>
      </c>
      <c r="E2940">
        <v>9720</v>
      </c>
      <c r="H2940" t="s">
        <v>1540</v>
      </c>
      <c r="I2940" s="1">
        <v>1730</v>
      </c>
      <c r="J2940" s="1">
        <v>0</v>
      </c>
      <c r="K2940" s="1" t="s">
        <v>871</v>
      </c>
      <c r="L2940" s="43" t="s">
        <v>4805</v>
      </c>
      <c r="P2940" s="41">
        <v>28</v>
      </c>
      <c r="Q2940" s="41">
        <v>8</v>
      </c>
      <c r="R2940" s="41">
        <v>79</v>
      </c>
      <c r="S2940" t="s">
        <v>884</v>
      </c>
      <c r="AH2940" t="s">
        <v>359</v>
      </c>
    </row>
    <row r="2941" spans="1:34" ht="15.75">
      <c r="A2941" s="29">
        <f t="shared" si="49"/>
        <v>6217</v>
      </c>
      <c r="B2941" s="2">
        <v>768</v>
      </c>
      <c r="C2941" s="8">
        <v>3</v>
      </c>
      <c r="D2941" s="2">
        <v>1817</v>
      </c>
      <c r="E2941">
        <v>9721</v>
      </c>
      <c r="H2941" t="s">
        <v>1541</v>
      </c>
      <c r="I2941" s="1">
        <v>6217</v>
      </c>
      <c r="J2941" s="1">
        <v>0</v>
      </c>
      <c r="K2941" s="1" t="s">
        <v>871</v>
      </c>
      <c r="L2941" s="43" t="s">
        <v>4812</v>
      </c>
      <c r="P2941" s="41">
        <v>16</v>
      </c>
      <c r="Q2941" s="41">
        <v>5</v>
      </c>
      <c r="R2941" s="41">
        <v>84</v>
      </c>
      <c r="S2941" t="s">
        <v>874</v>
      </c>
      <c r="AH2941" t="s">
        <v>359</v>
      </c>
    </row>
    <row r="2942" spans="1:34" ht="15.75">
      <c r="A2942" s="29">
        <f t="shared" si="49"/>
        <v>95782</v>
      </c>
      <c r="B2942" s="8">
        <v>769</v>
      </c>
      <c r="C2942" s="8">
        <v>3</v>
      </c>
      <c r="D2942" s="8">
        <v>1817</v>
      </c>
      <c r="E2942">
        <v>9722</v>
      </c>
      <c r="F2942" s="9"/>
      <c r="G2942" s="7"/>
      <c r="H2942" s="9" t="s">
        <v>1540</v>
      </c>
      <c r="I2942" s="8">
        <v>95782</v>
      </c>
      <c r="J2942" s="8">
        <v>0</v>
      </c>
      <c r="K2942" s="1" t="s">
        <v>871</v>
      </c>
      <c r="L2942" s="43" t="s">
        <v>2155</v>
      </c>
      <c r="M2942" s="41" t="s">
        <v>2156</v>
      </c>
      <c r="N2942" s="41" t="s">
        <v>3468</v>
      </c>
      <c r="O2942" s="41" t="s">
        <v>2157</v>
      </c>
      <c r="P2942" s="41">
        <v>23</v>
      </c>
      <c r="Q2942" s="41">
        <v>9</v>
      </c>
      <c r="R2942" s="41">
        <v>66</v>
      </c>
      <c r="S2942" t="s">
        <v>2158</v>
      </c>
      <c r="T2942" t="s">
        <v>2159</v>
      </c>
      <c r="V2942" t="s">
        <v>2160</v>
      </c>
      <c r="AH2942" t="s">
        <v>359</v>
      </c>
    </row>
    <row r="2943" spans="1:34" ht="15.75">
      <c r="A2943" s="29">
        <f t="shared" si="49"/>
        <v>37</v>
      </c>
      <c r="B2943" s="8">
        <v>769</v>
      </c>
      <c r="C2943" s="8">
        <v>3</v>
      </c>
      <c r="D2943" s="8">
        <v>1817</v>
      </c>
      <c r="E2943">
        <v>9723</v>
      </c>
      <c r="F2943" s="9"/>
      <c r="G2943" s="7"/>
      <c r="H2943" s="9" t="s">
        <v>1540</v>
      </c>
      <c r="I2943" s="8">
        <v>37</v>
      </c>
      <c r="J2943" s="8">
        <v>0</v>
      </c>
      <c r="K2943" s="1" t="s">
        <v>871</v>
      </c>
      <c r="L2943" s="43" t="s">
        <v>2161</v>
      </c>
      <c r="P2943" s="41">
        <v>21</v>
      </c>
      <c r="Q2943" s="41">
        <v>4</v>
      </c>
      <c r="R2943" s="41">
        <v>33</v>
      </c>
      <c r="S2943" t="s">
        <v>3321</v>
      </c>
      <c r="AH2943" t="s">
        <v>359</v>
      </c>
    </row>
    <row r="2944" spans="1:34" ht="15.75">
      <c r="A2944" s="29">
        <f t="shared" si="49"/>
        <v>674</v>
      </c>
      <c r="B2944" s="8">
        <v>769</v>
      </c>
      <c r="C2944" s="8">
        <v>3</v>
      </c>
      <c r="D2944" s="8">
        <v>1817</v>
      </c>
      <c r="E2944">
        <v>9724</v>
      </c>
      <c r="F2944" s="9"/>
      <c r="G2944" s="7"/>
      <c r="H2944" s="9" t="s">
        <v>1540</v>
      </c>
      <c r="I2944" s="8">
        <v>674</v>
      </c>
      <c r="J2944" s="8">
        <v>0</v>
      </c>
      <c r="K2944" s="1" t="s">
        <v>871</v>
      </c>
      <c r="L2944" s="43" t="s">
        <v>2161</v>
      </c>
      <c r="P2944" s="41">
        <v>11</v>
      </c>
      <c r="Q2944" s="41">
        <v>9</v>
      </c>
      <c r="R2944" s="41">
        <v>27</v>
      </c>
      <c r="S2944" t="s">
        <v>3321</v>
      </c>
      <c r="AH2944" t="s">
        <v>359</v>
      </c>
    </row>
    <row r="2945" spans="1:34" ht="15.75">
      <c r="A2945" s="29">
        <f t="shared" si="49"/>
        <v>9127</v>
      </c>
      <c r="B2945" s="8">
        <v>769</v>
      </c>
      <c r="C2945" s="8">
        <v>3</v>
      </c>
      <c r="D2945" s="8">
        <v>1817</v>
      </c>
      <c r="E2945">
        <v>9725</v>
      </c>
      <c r="F2945" s="9"/>
      <c r="G2945" s="7"/>
      <c r="H2945" s="9" t="s">
        <v>1540</v>
      </c>
      <c r="I2945" s="8">
        <v>127</v>
      </c>
      <c r="J2945" s="8">
        <v>450</v>
      </c>
      <c r="K2945" s="1" t="s">
        <v>871</v>
      </c>
      <c r="L2945" s="43" t="s">
        <v>2790</v>
      </c>
      <c r="P2945" s="41">
        <v>16</v>
      </c>
      <c r="Q2945" s="41">
        <v>5</v>
      </c>
      <c r="R2945" s="41" t="s">
        <v>1547</v>
      </c>
      <c r="S2945" t="s">
        <v>3321</v>
      </c>
      <c r="X2945">
        <v>1</v>
      </c>
      <c r="Y2945" t="s">
        <v>2162</v>
      </c>
      <c r="AH2945" t="s">
        <v>359</v>
      </c>
    </row>
    <row r="2946" spans="1:34" ht="15.75">
      <c r="A2946" s="29">
        <f t="shared" si="49"/>
        <v>2000</v>
      </c>
      <c r="B2946" s="2">
        <v>769</v>
      </c>
      <c r="C2946" s="2">
        <v>3</v>
      </c>
      <c r="D2946" s="2">
        <v>1817</v>
      </c>
      <c r="E2946">
        <v>9726</v>
      </c>
      <c r="G2946" s="1"/>
      <c r="H2946" t="s">
        <v>1541</v>
      </c>
      <c r="I2946" s="2">
        <v>2000</v>
      </c>
      <c r="J2946" s="2">
        <v>0</v>
      </c>
      <c r="K2946" s="1" t="s">
        <v>871</v>
      </c>
      <c r="L2946" s="43" t="s">
        <v>2790</v>
      </c>
      <c r="P2946" s="41">
        <v>8</v>
      </c>
      <c r="Q2946" s="41">
        <v>6</v>
      </c>
      <c r="R2946" s="41">
        <v>28</v>
      </c>
      <c r="S2946" t="s">
        <v>3321</v>
      </c>
      <c r="AH2946" t="s">
        <v>359</v>
      </c>
    </row>
    <row r="2947" spans="1:34" ht="15.75">
      <c r="A2947" s="29">
        <f t="shared" si="49"/>
        <v>1352</v>
      </c>
      <c r="B2947" s="2">
        <v>769</v>
      </c>
      <c r="C2947" s="2">
        <v>3</v>
      </c>
      <c r="D2947" s="2">
        <v>1817</v>
      </c>
      <c r="E2947">
        <v>9727</v>
      </c>
      <c r="G2947" s="1"/>
      <c r="H2947" t="s">
        <v>1541</v>
      </c>
      <c r="I2947" s="2">
        <v>1352</v>
      </c>
      <c r="J2947" s="2">
        <v>0</v>
      </c>
      <c r="K2947" s="1" t="s">
        <v>871</v>
      </c>
      <c r="L2947" s="43" t="s">
        <v>1343</v>
      </c>
      <c r="P2947" s="41">
        <v>26</v>
      </c>
      <c r="Q2947" s="41">
        <v>11</v>
      </c>
      <c r="R2947" s="41">
        <v>21</v>
      </c>
      <c r="S2947" t="s">
        <v>874</v>
      </c>
      <c r="AH2947" t="s">
        <v>359</v>
      </c>
    </row>
    <row r="2948" spans="1:34" ht="15.75">
      <c r="A2948" s="29">
        <f t="shared" si="49"/>
        <v>1652</v>
      </c>
      <c r="B2948" s="2">
        <v>769</v>
      </c>
      <c r="C2948" s="2">
        <v>3</v>
      </c>
      <c r="D2948" s="2">
        <v>1817</v>
      </c>
      <c r="E2948">
        <v>9728</v>
      </c>
      <c r="G2948" s="1"/>
      <c r="H2948" t="s">
        <v>1541</v>
      </c>
      <c r="I2948" s="2">
        <v>1652</v>
      </c>
      <c r="J2948" s="2">
        <v>0</v>
      </c>
      <c r="K2948" s="1" t="s">
        <v>871</v>
      </c>
      <c r="L2948" s="43" t="s">
        <v>1343</v>
      </c>
      <c r="P2948" s="41">
        <v>31</v>
      </c>
      <c r="Q2948" s="41">
        <v>10</v>
      </c>
      <c r="R2948" s="41">
        <v>13</v>
      </c>
      <c r="S2948" t="s">
        <v>884</v>
      </c>
      <c r="AH2948" t="s">
        <v>359</v>
      </c>
    </row>
    <row r="2949" spans="1:34" ht="15.75">
      <c r="A2949" s="29">
        <f t="shared" si="49"/>
        <v>160</v>
      </c>
      <c r="B2949" s="2">
        <v>769</v>
      </c>
      <c r="C2949" s="2">
        <v>3</v>
      </c>
      <c r="D2949" s="2">
        <v>1817</v>
      </c>
      <c r="E2949">
        <v>9729</v>
      </c>
      <c r="G2949" s="1"/>
      <c r="H2949" t="s">
        <v>1541</v>
      </c>
      <c r="I2949" s="2">
        <v>160</v>
      </c>
      <c r="J2949" s="2">
        <v>0</v>
      </c>
      <c r="K2949" s="1" t="s">
        <v>871</v>
      </c>
      <c r="L2949" s="43" t="s">
        <v>1380</v>
      </c>
      <c r="P2949" s="41">
        <v>31</v>
      </c>
      <c r="Q2949" s="41">
        <v>1</v>
      </c>
      <c r="R2949" s="41">
        <v>44</v>
      </c>
      <c r="S2949" t="s">
        <v>3321</v>
      </c>
      <c r="AH2949" t="s">
        <v>359</v>
      </c>
    </row>
    <row r="2950" spans="1:34" ht="15.75">
      <c r="A2950" s="29">
        <f t="shared" si="49"/>
        <v>3891</v>
      </c>
      <c r="B2950" s="2">
        <v>769</v>
      </c>
      <c r="C2950" s="2">
        <v>3</v>
      </c>
      <c r="D2950" s="2">
        <v>1817</v>
      </c>
      <c r="E2950">
        <v>9730</v>
      </c>
      <c r="G2950" s="1"/>
      <c r="H2950" t="s">
        <v>1540</v>
      </c>
      <c r="I2950" s="2">
        <f>1034+787+2070</f>
        <v>3891</v>
      </c>
      <c r="J2950" s="2">
        <v>0</v>
      </c>
      <c r="K2950" s="1" t="s">
        <v>871</v>
      </c>
      <c r="L2950" s="43" t="s">
        <v>1380</v>
      </c>
      <c r="P2950" s="41">
        <v>29</v>
      </c>
      <c r="Q2950" s="41">
        <v>3</v>
      </c>
      <c r="R2950" s="41">
        <v>46</v>
      </c>
      <c r="S2950" t="s">
        <v>3321</v>
      </c>
      <c r="AH2950" t="s">
        <v>359</v>
      </c>
    </row>
    <row r="2951" spans="1:34" ht="15.75">
      <c r="A2951" s="29">
        <f t="shared" si="49"/>
        <v>1945</v>
      </c>
      <c r="B2951" s="2">
        <v>769</v>
      </c>
      <c r="C2951" s="2">
        <v>3</v>
      </c>
      <c r="D2951" s="2">
        <v>1817</v>
      </c>
      <c r="E2951">
        <v>9731</v>
      </c>
      <c r="G2951" s="1"/>
      <c r="H2951" t="s">
        <v>1540</v>
      </c>
      <c r="I2951" s="2">
        <v>1945</v>
      </c>
      <c r="J2951" s="2">
        <v>0</v>
      </c>
      <c r="K2951" s="1" t="s">
        <v>871</v>
      </c>
      <c r="L2951" s="43" t="s">
        <v>1380</v>
      </c>
      <c r="P2951" s="41">
        <v>29</v>
      </c>
      <c r="Q2951" s="41">
        <v>3</v>
      </c>
      <c r="R2951" s="41" t="s">
        <v>1547</v>
      </c>
      <c r="S2951" t="s">
        <v>3321</v>
      </c>
      <c r="AH2951" t="s">
        <v>359</v>
      </c>
    </row>
    <row r="2952" spans="1:34" ht="15.75">
      <c r="A2952" s="29">
        <f t="shared" si="49"/>
        <v>55</v>
      </c>
      <c r="B2952" s="2">
        <v>770</v>
      </c>
      <c r="C2952" s="2">
        <v>3</v>
      </c>
      <c r="D2952" s="2">
        <v>1817</v>
      </c>
      <c r="E2952">
        <v>9732</v>
      </c>
      <c r="G2952" s="1"/>
      <c r="H2952" t="s">
        <v>1540</v>
      </c>
      <c r="I2952" s="2">
        <v>55</v>
      </c>
      <c r="J2952" s="2">
        <v>0</v>
      </c>
      <c r="K2952" s="1" t="s">
        <v>871</v>
      </c>
      <c r="L2952" s="43" t="s">
        <v>2163</v>
      </c>
      <c r="P2952" s="41">
        <v>5</v>
      </c>
      <c r="Q2952" s="41">
        <v>7</v>
      </c>
      <c r="R2952" s="41">
        <v>3</v>
      </c>
      <c r="S2952" t="s">
        <v>3321</v>
      </c>
      <c r="AH2952" t="s">
        <v>359</v>
      </c>
    </row>
    <row r="2953" spans="1:34" ht="15.75">
      <c r="A2953" s="29">
        <f t="shared" si="49"/>
        <v>62</v>
      </c>
      <c r="B2953" s="2">
        <v>770</v>
      </c>
      <c r="C2953" s="2">
        <v>3</v>
      </c>
      <c r="D2953" s="2">
        <v>1817</v>
      </c>
      <c r="E2953">
        <v>9733</v>
      </c>
      <c r="G2953" s="1"/>
      <c r="H2953" t="s">
        <v>1540</v>
      </c>
      <c r="I2953" s="2">
        <v>62</v>
      </c>
      <c r="J2953" s="2">
        <v>0</v>
      </c>
      <c r="K2953" s="1" t="s">
        <v>871</v>
      </c>
      <c r="L2953" s="43" t="s">
        <v>5768</v>
      </c>
      <c r="P2953" s="41">
        <v>4</v>
      </c>
      <c r="Q2953" s="41">
        <v>3</v>
      </c>
      <c r="R2953" s="41">
        <v>32</v>
      </c>
      <c r="S2953" t="s">
        <v>3321</v>
      </c>
      <c r="AH2953" t="s">
        <v>359</v>
      </c>
    </row>
    <row r="2954" spans="1:34" ht="15.75">
      <c r="A2954" s="29">
        <f t="shared" si="49"/>
        <v>3303</v>
      </c>
      <c r="B2954" s="2">
        <v>770</v>
      </c>
      <c r="C2954" s="2">
        <v>3</v>
      </c>
      <c r="D2954" s="2">
        <v>1817</v>
      </c>
      <c r="E2954">
        <v>9734</v>
      </c>
      <c r="G2954" s="1"/>
      <c r="H2954" t="s">
        <v>850</v>
      </c>
      <c r="I2954" s="2">
        <f>3000+303</f>
        <v>3303</v>
      </c>
      <c r="J2954" s="2">
        <v>0</v>
      </c>
      <c r="K2954" s="1" t="s">
        <v>871</v>
      </c>
      <c r="L2954" s="43" t="s">
        <v>5768</v>
      </c>
      <c r="P2954" s="41">
        <v>4</v>
      </c>
      <c r="Q2954" s="41">
        <v>6</v>
      </c>
      <c r="R2954" s="41">
        <v>49</v>
      </c>
      <c r="S2954" t="s">
        <v>3321</v>
      </c>
      <c r="AH2954" t="s">
        <v>359</v>
      </c>
    </row>
    <row r="2955" spans="1:34" ht="15.75">
      <c r="A2955" s="29">
        <f t="shared" si="49"/>
        <v>1719</v>
      </c>
      <c r="B2955" s="8">
        <v>770</v>
      </c>
      <c r="C2955" s="8">
        <v>3</v>
      </c>
      <c r="D2955" s="8">
        <v>1817</v>
      </c>
      <c r="E2955">
        <v>9735</v>
      </c>
      <c r="F2955" s="9"/>
      <c r="G2955" s="7"/>
      <c r="H2955" s="9" t="s">
        <v>1541</v>
      </c>
      <c r="I2955" s="8">
        <v>719</v>
      </c>
      <c r="J2955" s="8">
        <v>400</v>
      </c>
      <c r="K2955" s="1" t="s">
        <v>871</v>
      </c>
      <c r="L2955" s="43" t="s">
        <v>2164</v>
      </c>
      <c r="M2955" s="41" t="s">
        <v>2165</v>
      </c>
      <c r="P2955" s="41">
        <v>22</v>
      </c>
      <c r="Q2955" s="41">
        <v>11</v>
      </c>
      <c r="R2955" s="41">
        <v>15</v>
      </c>
      <c r="S2955" t="s">
        <v>884</v>
      </c>
      <c r="X2955">
        <f>1/8</f>
        <v>0.125</v>
      </c>
      <c r="Y2955" t="s">
        <v>2166</v>
      </c>
      <c r="AH2955" t="s">
        <v>359</v>
      </c>
    </row>
    <row r="2956" spans="1:34" ht="15.75">
      <c r="A2956" s="29">
        <f t="shared" si="49"/>
        <v>3079</v>
      </c>
      <c r="B2956" s="2">
        <v>770</v>
      </c>
      <c r="C2956" s="2">
        <v>3</v>
      </c>
      <c r="D2956" s="2">
        <v>1817</v>
      </c>
      <c r="E2956">
        <v>9736</v>
      </c>
      <c r="G2956" s="1"/>
      <c r="H2956" t="s">
        <v>1541</v>
      </c>
      <c r="I2956" s="2">
        <v>3079</v>
      </c>
      <c r="J2956" s="2">
        <v>0</v>
      </c>
      <c r="K2956" s="1" t="s">
        <v>871</v>
      </c>
      <c r="L2956" s="43" t="s">
        <v>4822</v>
      </c>
      <c r="P2956" s="41">
        <v>20</v>
      </c>
      <c r="Q2956" s="41">
        <v>7</v>
      </c>
      <c r="R2956" s="41" t="s">
        <v>1547</v>
      </c>
      <c r="S2956" t="s">
        <v>874</v>
      </c>
      <c r="AH2956" t="s">
        <v>359</v>
      </c>
    </row>
    <row r="2957" spans="1:34" ht="15.75">
      <c r="A2957" s="29">
        <f t="shared" si="49"/>
        <v>21022</v>
      </c>
      <c r="B2957" s="8">
        <v>770</v>
      </c>
      <c r="C2957" s="8">
        <v>3</v>
      </c>
      <c r="D2957" s="8">
        <v>1817</v>
      </c>
      <c r="E2957">
        <v>9737</v>
      </c>
      <c r="F2957" s="9"/>
      <c r="G2957" s="7"/>
      <c r="H2957" s="9" t="s">
        <v>1540</v>
      </c>
      <c r="I2957" s="8">
        <v>21022</v>
      </c>
      <c r="J2957" s="8">
        <v>0</v>
      </c>
      <c r="K2957" s="1" t="s">
        <v>871</v>
      </c>
      <c r="L2957" s="43" t="s">
        <v>4330</v>
      </c>
      <c r="M2957" s="41" t="s">
        <v>2167</v>
      </c>
      <c r="N2957" s="41" t="s">
        <v>2168</v>
      </c>
      <c r="O2957" s="41" t="s">
        <v>2169</v>
      </c>
      <c r="P2957" s="41">
        <v>1</v>
      </c>
      <c r="Q2957" s="41">
        <v>2</v>
      </c>
      <c r="R2957" s="41">
        <v>42</v>
      </c>
      <c r="S2957" t="s">
        <v>2170</v>
      </c>
      <c r="T2957" t="s">
        <v>2171</v>
      </c>
      <c r="V2957" t="s">
        <v>3564</v>
      </c>
      <c r="AH2957" t="s">
        <v>359</v>
      </c>
    </row>
    <row r="2958" spans="1:34" ht="15.75">
      <c r="A2958" s="29">
        <f t="shared" si="49"/>
        <v>1344</v>
      </c>
      <c r="B2958" s="2">
        <v>771</v>
      </c>
      <c r="C2958" s="2">
        <v>3</v>
      </c>
      <c r="D2958" s="2">
        <v>1817</v>
      </c>
      <c r="E2958">
        <v>9738</v>
      </c>
      <c r="G2958" s="1"/>
      <c r="H2958" t="s">
        <v>1540</v>
      </c>
      <c r="I2958" s="2">
        <v>1344</v>
      </c>
      <c r="J2958" s="2">
        <v>0</v>
      </c>
      <c r="K2958" s="2" t="s">
        <v>872</v>
      </c>
      <c r="L2958" s="43" t="s">
        <v>4827</v>
      </c>
      <c r="P2958" s="41">
        <v>16</v>
      </c>
      <c r="Q2958" s="41">
        <v>12</v>
      </c>
      <c r="R2958" s="41">
        <v>67</v>
      </c>
      <c r="S2958" t="s">
        <v>3321</v>
      </c>
      <c r="AH2958" t="s">
        <v>359</v>
      </c>
    </row>
    <row r="2959" spans="1:34" ht="15.75">
      <c r="A2959" s="29">
        <f t="shared" si="49"/>
        <v>41</v>
      </c>
      <c r="B2959" s="2">
        <v>771</v>
      </c>
      <c r="C2959" s="2">
        <v>3</v>
      </c>
      <c r="D2959" s="2">
        <v>1817</v>
      </c>
      <c r="E2959">
        <v>9739</v>
      </c>
      <c r="G2959" s="1"/>
      <c r="H2959" t="s">
        <v>1540</v>
      </c>
      <c r="I2959" s="2">
        <v>41</v>
      </c>
      <c r="J2959" s="2">
        <v>0</v>
      </c>
      <c r="K2959" s="2" t="s">
        <v>872</v>
      </c>
      <c r="L2959" s="43" t="s">
        <v>4830</v>
      </c>
      <c r="P2959" s="41">
        <v>3</v>
      </c>
      <c r="Q2959" s="41">
        <v>2</v>
      </c>
      <c r="R2959" s="41">
        <v>33</v>
      </c>
      <c r="S2959" t="s">
        <v>3321</v>
      </c>
      <c r="AG2959" t="s">
        <v>2172</v>
      </c>
      <c r="AH2959" t="s">
        <v>359</v>
      </c>
    </row>
    <row r="2960" spans="1:34" ht="15.75">
      <c r="A2960" s="29">
        <f t="shared" si="49"/>
        <v>26569</v>
      </c>
      <c r="B2960" s="8">
        <v>771</v>
      </c>
      <c r="C2960" s="8">
        <v>3</v>
      </c>
      <c r="D2960" s="8">
        <v>1817</v>
      </c>
      <c r="E2960">
        <v>9740</v>
      </c>
      <c r="F2960" s="9"/>
      <c r="G2960" s="7"/>
      <c r="H2960" s="9" t="s">
        <v>1540</v>
      </c>
      <c r="I2960" s="8">
        <v>26569</v>
      </c>
      <c r="J2960" s="8">
        <v>0</v>
      </c>
      <c r="K2960" s="2" t="s">
        <v>872</v>
      </c>
      <c r="L2960" s="43" t="s">
        <v>2173</v>
      </c>
      <c r="M2960" s="41" t="s">
        <v>2174</v>
      </c>
      <c r="N2960" s="41" t="s">
        <v>3144</v>
      </c>
      <c r="O2960" s="41" t="s">
        <v>2175</v>
      </c>
      <c r="P2960" s="41">
        <v>27</v>
      </c>
      <c r="Q2960" s="41">
        <v>2</v>
      </c>
      <c r="R2960" s="41">
        <v>72</v>
      </c>
      <c r="S2960" t="s">
        <v>2176</v>
      </c>
      <c r="T2960" t="s">
        <v>2177</v>
      </c>
      <c r="V2960" t="s">
        <v>2178</v>
      </c>
      <c r="AH2960" t="s">
        <v>359</v>
      </c>
    </row>
    <row r="2961" spans="1:34" ht="15.75">
      <c r="A2961" s="29">
        <f t="shared" si="49"/>
        <v>19</v>
      </c>
      <c r="B2961" s="2">
        <v>771</v>
      </c>
      <c r="C2961" s="2">
        <v>3</v>
      </c>
      <c r="D2961" s="2">
        <v>1817</v>
      </c>
      <c r="E2961">
        <v>9742</v>
      </c>
      <c r="G2961" s="1"/>
      <c r="H2961" t="s">
        <v>850</v>
      </c>
      <c r="I2961" s="2">
        <v>19</v>
      </c>
      <c r="J2961" s="2">
        <v>0</v>
      </c>
      <c r="K2961" s="2" t="s">
        <v>872</v>
      </c>
      <c r="L2961" s="43" t="s">
        <v>2708</v>
      </c>
      <c r="P2961" s="41">
        <v>15</v>
      </c>
      <c r="Q2961" s="41">
        <v>4</v>
      </c>
      <c r="R2961" s="41">
        <v>66</v>
      </c>
      <c r="S2961" t="s">
        <v>874</v>
      </c>
      <c r="AG2961" t="s">
        <v>2172</v>
      </c>
      <c r="AH2961" t="s">
        <v>359</v>
      </c>
    </row>
    <row r="2962" spans="1:34" ht="15.75">
      <c r="A2962" s="39">
        <v>0</v>
      </c>
      <c r="B2962" s="2">
        <v>771</v>
      </c>
      <c r="C2962" s="2">
        <v>3</v>
      </c>
      <c r="D2962" s="2">
        <v>1817</v>
      </c>
      <c r="E2962">
        <v>9744</v>
      </c>
      <c r="G2962" s="1"/>
      <c r="H2962" t="s">
        <v>1540</v>
      </c>
      <c r="I2962" s="2">
        <v>246</v>
      </c>
      <c r="J2962" s="2">
        <v>0</v>
      </c>
      <c r="K2962" s="2" t="s">
        <v>872</v>
      </c>
      <c r="L2962" s="43" t="s">
        <v>1381</v>
      </c>
      <c r="P2962" s="41">
        <v>28</v>
      </c>
      <c r="Q2962" s="41">
        <v>5</v>
      </c>
      <c r="R2962" s="41">
        <v>65</v>
      </c>
      <c r="S2962" t="s">
        <v>874</v>
      </c>
      <c r="AH2962" t="s">
        <v>359</v>
      </c>
    </row>
    <row r="2963" spans="1:34" ht="15.75">
      <c r="A2963" s="29">
        <f aca="true" t="shared" si="50" ref="A2963:A3026">I2963+J2963*20*X2963</f>
        <v>43</v>
      </c>
      <c r="B2963" s="2">
        <v>771</v>
      </c>
      <c r="C2963" s="2">
        <v>3</v>
      </c>
      <c r="D2963" s="2">
        <v>1817</v>
      </c>
      <c r="E2963">
        <v>9745</v>
      </c>
      <c r="G2963" s="1"/>
      <c r="H2963" t="s">
        <v>1541</v>
      </c>
      <c r="I2963" s="2">
        <v>43</v>
      </c>
      <c r="J2963" s="2">
        <v>0</v>
      </c>
      <c r="K2963" s="2" t="s">
        <v>872</v>
      </c>
      <c r="L2963" s="43" t="s">
        <v>4838</v>
      </c>
      <c r="P2963" s="41">
        <v>5</v>
      </c>
      <c r="Q2963" s="41">
        <v>10</v>
      </c>
      <c r="R2963" s="41">
        <v>62</v>
      </c>
      <c r="S2963" t="s">
        <v>3321</v>
      </c>
      <c r="AH2963" t="s">
        <v>359</v>
      </c>
    </row>
    <row r="2964" spans="1:34" ht="15.75">
      <c r="A2964" s="29">
        <f t="shared" si="50"/>
        <v>55635</v>
      </c>
      <c r="B2964" s="2">
        <v>771</v>
      </c>
      <c r="C2964" s="2">
        <v>3</v>
      </c>
      <c r="D2964" s="2">
        <v>1817</v>
      </c>
      <c r="E2964">
        <v>9746</v>
      </c>
      <c r="G2964" s="1"/>
      <c r="H2964" t="s">
        <v>1549</v>
      </c>
      <c r="I2964" s="2">
        <f>4446+51189</f>
        <v>55635</v>
      </c>
      <c r="J2964" s="2">
        <v>0</v>
      </c>
      <c r="K2964" s="2" t="s">
        <v>1010</v>
      </c>
      <c r="L2964" s="43" t="s">
        <v>2182</v>
      </c>
      <c r="M2964" s="41" t="s">
        <v>3701</v>
      </c>
      <c r="N2964" s="41" t="s">
        <v>4212</v>
      </c>
      <c r="O2964" s="41" t="s">
        <v>2183</v>
      </c>
      <c r="P2964" s="41">
        <v>8</v>
      </c>
      <c r="Q2964" s="41">
        <v>2</v>
      </c>
      <c r="R2964" s="41">
        <v>59</v>
      </c>
      <c r="S2964" t="s">
        <v>3321</v>
      </c>
      <c r="T2964" t="s">
        <v>1484</v>
      </c>
      <c r="V2964" t="s">
        <v>2184</v>
      </c>
      <c r="AH2964" t="s">
        <v>359</v>
      </c>
    </row>
    <row r="2965" spans="1:34" ht="15.75">
      <c r="A2965" s="29">
        <f t="shared" si="50"/>
        <v>204</v>
      </c>
      <c r="B2965" s="2">
        <v>772</v>
      </c>
      <c r="C2965" s="2">
        <v>3</v>
      </c>
      <c r="D2965" s="2">
        <v>1817</v>
      </c>
      <c r="E2965">
        <v>9747</v>
      </c>
      <c r="G2965" s="1"/>
      <c r="H2965" t="s">
        <v>1541</v>
      </c>
      <c r="I2965" s="2">
        <v>204</v>
      </c>
      <c r="J2965" s="2">
        <v>0</v>
      </c>
      <c r="K2965" s="2" t="s">
        <v>872</v>
      </c>
      <c r="L2965" s="43" t="s">
        <v>4227</v>
      </c>
      <c r="P2965" s="41">
        <v>27</v>
      </c>
      <c r="Q2965" s="41">
        <v>3</v>
      </c>
      <c r="R2965" s="41">
        <v>37</v>
      </c>
      <c r="S2965" t="s">
        <v>3321</v>
      </c>
      <c r="AH2965" t="s">
        <v>359</v>
      </c>
    </row>
    <row r="2966" spans="1:34" ht="15.75">
      <c r="A2966" s="29">
        <f t="shared" si="50"/>
        <v>844</v>
      </c>
      <c r="B2966" s="2">
        <v>772</v>
      </c>
      <c r="C2966" s="2">
        <v>3</v>
      </c>
      <c r="D2966" s="2">
        <v>1817</v>
      </c>
      <c r="E2966">
        <v>9748</v>
      </c>
      <c r="G2966" s="1"/>
      <c r="H2966" t="s">
        <v>1541</v>
      </c>
      <c r="I2966" s="2">
        <v>844</v>
      </c>
      <c r="J2966" s="2">
        <v>0</v>
      </c>
      <c r="K2966" s="2" t="s">
        <v>872</v>
      </c>
      <c r="L2966" s="43" t="s">
        <v>4227</v>
      </c>
      <c r="P2966" s="41">
        <v>30</v>
      </c>
      <c r="Q2966" s="41">
        <v>9</v>
      </c>
      <c r="R2966" s="41">
        <v>65</v>
      </c>
      <c r="S2966" t="s">
        <v>3321</v>
      </c>
      <c r="AH2966" t="s">
        <v>359</v>
      </c>
    </row>
    <row r="2967" spans="1:34" ht="15.75">
      <c r="A2967" s="29">
        <f t="shared" si="50"/>
        <v>107</v>
      </c>
      <c r="B2967" s="2">
        <v>772</v>
      </c>
      <c r="C2967" s="2">
        <v>3</v>
      </c>
      <c r="D2967" s="2">
        <v>1817</v>
      </c>
      <c r="E2967">
        <v>9749</v>
      </c>
      <c r="G2967" s="1"/>
      <c r="H2967" t="s">
        <v>1540</v>
      </c>
      <c r="I2967" s="2">
        <v>107</v>
      </c>
      <c r="J2967" s="2">
        <v>0</v>
      </c>
      <c r="K2967" s="2" t="s">
        <v>872</v>
      </c>
      <c r="L2967" s="43" t="s">
        <v>1351</v>
      </c>
      <c r="P2967" s="41">
        <v>13</v>
      </c>
      <c r="Q2967" s="41">
        <v>9</v>
      </c>
      <c r="R2967" s="41">
        <v>73</v>
      </c>
      <c r="S2967" t="s">
        <v>3321</v>
      </c>
      <c r="AH2967" t="s">
        <v>359</v>
      </c>
    </row>
    <row r="2968" spans="1:34" ht="15.75">
      <c r="A2968" s="29">
        <f t="shared" si="50"/>
        <v>720</v>
      </c>
      <c r="B2968" s="2">
        <v>772</v>
      </c>
      <c r="C2968" s="2">
        <v>3</v>
      </c>
      <c r="D2968" s="2">
        <v>1817</v>
      </c>
      <c r="E2968">
        <v>9750</v>
      </c>
      <c r="G2968" s="1"/>
      <c r="H2968" t="s">
        <v>1540</v>
      </c>
      <c r="I2968" s="2">
        <v>720</v>
      </c>
      <c r="J2968" s="2">
        <v>0</v>
      </c>
      <c r="K2968" s="2" t="s">
        <v>872</v>
      </c>
      <c r="L2968" s="43" t="s">
        <v>4253</v>
      </c>
      <c r="P2968" s="41">
        <v>4</v>
      </c>
      <c r="Q2968" s="41">
        <v>6</v>
      </c>
      <c r="R2968" s="41">
        <v>26</v>
      </c>
      <c r="S2968" t="s">
        <v>884</v>
      </c>
      <c r="AH2968" t="s">
        <v>359</v>
      </c>
    </row>
    <row r="2969" spans="1:34" ht="15.75">
      <c r="A2969" s="29">
        <f t="shared" si="50"/>
        <v>1706</v>
      </c>
      <c r="B2969" s="2">
        <v>772</v>
      </c>
      <c r="C2969" s="2">
        <v>3</v>
      </c>
      <c r="D2969" s="2">
        <v>1817</v>
      </c>
      <c r="E2969">
        <v>9751</v>
      </c>
      <c r="G2969" s="1"/>
      <c r="H2969" t="s">
        <v>1541</v>
      </c>
      <c r="I2969" s="2">
        <v>1706</v>
      </c>
      <c r="J2969" s="2">
        <v>0</v>
      </c>
      <c r="K2969" s="2" t="s">
        <v>872</v>
      </c>
      <c r="L2969" s="43" t="s">
        <v>4253</v>
      </c>
      <c r="P2969" s="41">
        <v>7</v>
      </c>
      <c r="Q2969" s="41">
        <v>4</v>
      </c>
      <c r="R2969" s="41">
        <v>27</v>
      </c>
      <c r="S2969" t="s">
        <v>3321</v>
      </c>
      <c r="AH2969" t="s">
        <v>359</v>
      </c>
    </row>
    <row r="2970" spans="1:34" ht="15.75">
      <c r="A2970" s="29">
        <f t="shared" si="50"/>
        <v>176</v>
      </c>
      <c r="B2970" s="2">
        <v>772</v>
      </c>
      <c r="C2970" s="2">
        <v>3</v>
      </c>
      <c r="D2970" s="2">
        <v>1817</v>
      </c>
      <c r="E2970">
        <v>9752</v>
      </c>
      <c r="G2970" s="1"/>
      <c r="H2970" t="s">
        <v>1541</v>
      </c>
      <c r="I2970" s="2">
        <v>176</v>
      </c>
      <c r="J2970" s="2">
        <v>0</v>
      </c>
      <c r="K2970" s="2" t="s">
        <v>872</v>
      </c>
      <c r="L2970" s="43" t="s">
        <v>5229</v>
      </c>
      <c r="P2970" s="41">
        <v>30</v>
      </c>
      <c r="Q2970" s="41">
        <v>7</v>
      </c>
      <c r="R2970" s="41">
        <v>21</v>
      </c>
      <c r="S2970" t="s">
        <v>3321</v>
      </c>
      <c r="AH2970" t="s">
        <v>359</v>
      </c>
    </row>
    <row r="2971" spans="1:34" ht="15.75">
      <c r="A2971" s="29">
        <f t="shared" si="50"/>
        <v>28056</v>
      </c>
      <c r="B2971" s="8">
        <v>773</v>
      </c>
      <c r="C2971" s="8">
        <v>3</v>
      </c>
      <c r="D2971" s="8">
        <v>1817</v>
      </c>
      <c r="E2971">
        <v>9753</v>
      </c>
      <c r="F2971" s="9"/>
      <c r="G2971" s="7"/>
      <c r="H2971" s="9" t="s">
        <v>1541</v>
      </c>
      <c r="I2971" s="8">
        <v>28056</v>
      </c>
      <c r="J2971" s="8">
        <v>0</v>
      </c>
      <c r="K2971" s="8" t="s">
        <v>873</v>
      </c>
      <c r="L2971" s="43" t="s">
        <v>2186</v>
      </c>
      <c r="M2971" s="43" t="s">
        <v>2187</v>
      </c>
      <c r="N2971" s="43" t="s">
        <v>1555</v>
      </c>
      <c r="O2971" s="43" t="s">
        <v>2188</v>
      </c>
      <c r="P2971" s="43">
        <v>17</v>
      </c>
      <c r="Q2971" s="43">
        <v>5</v>
      </c>
      <c r="R2971" s="43">
        <v>86</v>
      </c>
      <c r="S2971" s="9" t="s">
        <v>2189</v>
      </c>
      <c r="T2971" s="9" t="s">
        <v>2190</v>
      </c>
      <c r="U2971" s="9"/>
      <c r="V2971" s="9" t="s">
        <v>2191</v>
      </c>
      <c r="W2971" s="9"/>
      <c r="X2971" s="9"/>
      <c r="AH2971" t="s">
        <v>359</v>
      </c>
    </row>
    <row r="2972" spans="1:34" ht="15.75">
      <c r="A2972" s="29">
        <f t="shared" si="50"/>
        <v>922</v>
      </c>
      <c r="B2972" s="8">
        <v>773</v>
      </c>
      <c r="C2972" s="8">
        <v>3</v>
      </c>
      <c r="D2972" s="8">
        <v>1817</v>
      </c>
      <c r="E2972">
        <v>9754</v>
      </c>
      <c r="F2972" s="9"/>
      <c r="G2972" s="7"/>
      <c r="H2972" s="9" t="s">
        <v>1540</v>
      </c>
      <c r="I2972" s="8">
        <v>922</v>
      </c>
      <c r="J2972" s="8">
        <v>0</v>
      </c>
      <c r="K2972" s="8" t="s">
        <v>873</v>
      </c>
      <c r="L2972" s="43" t="s">
        <v>5212</v>
      </c>
      <c r="M2972" s="43"/>
      <c r="N2972" s="43"/>
      <c r="O2972" s="43"/>
      <c r="P2972" s="43">
        <v>8</v>
      </c>
      <c r="Q2972" s="43">
        <v>8</v>
      </c>
      <c r="R2972" s="43" t="s">
        <v>1547</v>
      </c>
      <c r="S2972" t="s">
        <v>3321</v>
      </c>
      <c r="T2972" s="9"/>
      <c r="U2972" s="9"/>
      <c r="V2972" s="9"/>
      <c r="W2972" s="9"/>
      <c r="AH2972" t="s">
        <v>359</v>
      </c>
    </row>
    <row r="2973" spans="1:34" ht="15.75">
      <c r="A2973" s="29">
        <f t="shared" si="50"/>
        <v>922</v>
      </c>
      <c r="B2973" s="8">
        <v>773</v>
      </c>
      <c r="C2973" s="8">
        <v>3</v>
      </c>
      <c r="D2973" s="8">
        <v>1817</v>
      </c>
      <c r="E2973">
        <v>9755</v>
      </c>
      <c r="F2973" s="9"/>
      <c r="G2973" s="7"/>
      <c r="H2973" s="9" t="s">
        <v>1540</v>
      </c>
      <c r="I2973" s="8">
        <v>922</v>
      </c>
      <c r="J2973" s="8">
        <v>0</v>
      </c>
      <c r="K2973" s="8" t="s">
        <v>873</v>
      </c>
      <c r="L2973" s="43" t="s">
        <v>5212</v>
      </c>
      <c r="M2973" s="43"/>
      <c r="N2973" s="43"/>
      <c r="O2973" s="43"/>
      <c r="P2973" s="43">
        <v>17</v>
      </c>
      <c r="Q2973" s="43">
        <v>8</v>
      </c>
      <c r="R2973" s="43" t="s">
        <v>1547</v>
      </c>
      <c r="S2973" s="9" t="s">
        <v>1547</v>
      </c>
      <c r="T2973" s="9"/>
      <c r="U2973" s="9"/>
      <c r="V2973" s="9"/>
      <c r="W2973" s="9"/>
      <c r="AH2973" t="s">
        <v>359</v>
      </c>
    </row>
    <row r="2974" spans="1:34" ht="15.75">
      <c r="A2974" s="29">
        <f t="shared" si="50"/>
        <v>28386</v>
      </c>
      <c r="B2974" s="8">
        <v>773</v>
      </c>
      <c r="C2974" s="8">
        <v>3</v>
      </c>
      <c r="D2974" s="8">
        <v>1817</v>
      </c>
      <c r="E2974">
        <v>9756</v>
      </c>
      <c r="F2974" s="9"/>
      <c r="G2974" s="7"/>
      <c r="H2974" s="9" t="s">
        <v>1540</v>
      </c>
      <c r="I2974" s="8">
        <f>8823+19563</f>
        <v>28386</v>
      </c>
      <c r="J2974" s="8">
        <v>0</v>
      </c>
      <c r="K2974" s="8" t="s">
        <v>873</v>
      </c>
      <c r="L2974" s="43" t="s">
        <v>2192</v>
      </c>
      <c r="M2974" s="43" t="s">
        <v>1546</v>
      </c>
      <c r="N2974" s="43" t="s">
        <v>1555</v>
      </c>
      <c r="O2974" s="43" t="s">
        <v>2193</v>
      </c>
      <c r="P2974" s="43">
        <v>1</v>
      </c>
      <c r="Q2974" s="43">
        <v>6</v>
      </c>
      <c r="R2974" s="43">
        <v>25</v>
      </c>
      <c r="S2974" s="9" t="s">
        <v>2194</v>
      </c>
      <c r="T2974" s="9" t="s">
        <v>4205</v>
      </c>
      <c r="U2974" s="9"/>
      <c r="V2974" s="9" t="s">
        <v>2195</v>
      </c>
      <c r="W2974" s="9"/>
      <c r="AH2974" t="s">
        <v>359</v>
      </c>
    </row>
    <row r="2975" spans="1:34" ht="15.75">
      <c r="A2975" s="29">
        <f t="shared" si="50"/>
        <v>15000</v>
      </c>
      <c r="B2975" s="8">
        <v>773</v>
      </c>
      <c r="C2975" s="8">
        <v>3</v>
      </c>
      <c r="D2975" s="8">
        <v>1817</v>
      </c>
      <c r="E2975">
        <v>9757</v>
      </c>
      <c r="F2975" s="9"/>
      <c r="G2975" s="7"/>
      <c r="H2975" s="9" t="s">
        <v>1541</v>
      </c>
      <c r="I2975" s="8">
        <v>0</v>
      </c>
      <c r="J2975" s="8">
        <v>750</v>
      </c>
      <c r="K2975" s="8" t="s">
        <v>873</v>
      </c>
      <c r="L2975" s="43" t="s">
        <v>1384</v>
      </c>
      <c r="P2975" s="41">
        <v>2</v>
      </c>
      <c r="Q2975" s="41">
        <v>9</v>
      </c>
      <c r="R2975" s="41" t="s">
        <v>1547</v>
      </c>
      <c r="S2975" t="s">
        <v>1547</v>
      </c>
      <c r="X2975">
        <v>1</v>
      </c>
      <c r="Y2975" t="s">
        <v>2202</v>
      </c>
      <c r="AH2975" t="s">
        <v>359</v>
      </c>
    </row>
    <row r="2976" spans="1:34" ht="15.75">
      <c r="A2976" s="29">
        <f t="shared" si="50"/>
        <v>19070</v>
      </c>
      <c r="B2976" s="8">
        <v>773</v>
      </c>
      <c r="C2976" s="8">
        <v>3</v>
      </c>
      <c r="D2976" s="8">
        <v>1817</v>
      </c>
      <c r="E2976">
        <v>9758</v>
      </c>
      <c r="F2976" s="9"/>
      <c r="G2976" s="7"/>
      <c r="H2976" s="9" t="s">
        <v>1540</v>
      </c>
      <c r="I2976" s="8">
        <v>1070</v>
      </c>
      <c r="J2976" s="8">
        <v>900</v>
      </c>
      <c r="K2976" s="8" t="s">
        <v>873</v>
      </c>
      <c r="L2976" s="43" t="s">
        <v>2196</v>
      </c>
      <c r="M2976" s="41" t="s">
        <v>2197</v>
      </c>
      <c r="N2976" s="41" t="s">
        <v>2198</v>
      </c>
      <c r="O2976" s="41" t="s">
        <v>2199</v>
      </c>
      <c r="P2976" s="41">
        <v>6</v>
      </c>
      <c r="Q2976" s="41">
        <v>11</v>
      </c>
      <c r="R2976" s="41">
        <v>68</v>
      </c>
      <c r="S2976" t="s">
        <v>2200</v>
      </c>
      <c r="T2976" t="s">
        <v>1982</v>
      </c>
      <c r="V2976" t="s">
        <v>2528</v>
      </c>
      <c r="X2976">
        <v>1</v>
      </c>
      <c r="Y2976" t="s">
        <v>2201</v>
      </c>
      <c r="AH2976" t="s">
        <v>359</v>
      </c>
    </row>
    <row r="2977" spans="1:34" ht="15.75">
      <c r="A2977" s="29">
        <f t="shared" si="50"/>
        <v>3469</v>
      </c>
      <c r="B2977" s="2">
        <v>773</v>
      </c>
      <c r="C2977" s="2">
        <v>3</v>
      </c>
      <c r="D2977" s="2">
        <v>1817</v>
      </c>
      <c r="E2977">
        <v>9759</v>
      </c>
      <c r="G2977" s="1"/>
      <c r="H2977" t="s">
        <v>1540</v>
      </c>
      <c r="I2977" s="2">
        <v>3469</v>
      </c>
      <c r="J2977" s="2">
        <v>0</v>
      </c>
      <c r="K2977" s="8" t="s">
        <v>873</v>
      </c>
      <c r="L2977" s="43" t="s">
        <v>1382</v>
      </c>
      <c r="P2977" s="41">
        <v>5</v>
      </c>
      <c r="Q2977" s="41">
        <v>5</v>
      </c>
      <c r="R2977" s="41">
        <v>15</v>
      </c>
      <c r="S2977" t="s">
        <v>884</v>
      </c>
      <c r="AH2977" t="s">
        <v>359</v>
      </c>
    </row>
    <row r="2978" spans="1:34" ht="15.75">
      <c r="A2978" s="29">
        <f t="shared" si="50"/>
        <v>415</v>
      </c>
      <c r="B2978" s="2">
        <v>773</v>
      </c>
      <c r="C2978" s="2">
        <v>3</v>
      </c>
      <c r="D2978" s="2">
        <v>1817</v>
      </c>
      <c r="E2978">
        <v>9760</v>
      </c>
      <c r="G2978" s="1"/>
      <c r="H2978" t="s">
        <v>1541</v>
      </c>
      <c r="I2978" s="2">
        <v>415</v>
      </c>
      <c r="J2978" s="2">
        <v>0</v>
      </c>
      <c r="K2978" s="8" t="s">
        <v>873</v>
      </c>
      <c r="L2978" s="43" t="s">
        <v>1382</v>
      </c>
      <c r="P2978" s="41">
        <v>13</v>
      </c>
      <c r="Q2978" s="41">
        <v>8</v>
      </c>
      <c r="R2978" s="41">
        <v>33</v>
      </c>
      <c r="S2978" t="s">
        <v>3321</v>
      </c>
      <c r="AH2978" t="s">
        <v>359</v>
      </c>
    </row>
    <row r="2979" spans="1:34" ht="15.75">
      <c r="A2979" s="29">
        <f t="shared" si="50"/>
        <v>872</v>
      </c>
      <c r="B2979" s="2">
        <v>774</v>
      </c>
      <c r="C2979" s="2">
        <v>3</v>
      </c>
      <c r="D2979" s="2">
        <v>1817</v>
      </c>
      <c r="E2979">
        <v>9761</v>
      </c>
      <c r="G2979" s="1"/>
      <c r="H2979" t="s">
        <v>1540</v>
      </c>
      <c r="I2979" s="2">
        <v>872</v>
      </c>
      <c r="J2979" s="2">
        <v>0</v>
      </c>
      <c r="K2979" s="8" t="s">
        <v>873</v>
      </c>
      <c r="L2979" s="43" t="s">
        <v>2208</v>
      </c>
      <c r="P2979" s="41">
        <v>26</v>
      </c>
      <c r="Q2979" s="41">
        <v>3</v>
      </c>
      <c r="R2979" s="41">
        <v>53</v>
      </c>
      <c r="S2979" t="s">
        <v>3321</v>
      </c>
      <c r="AH2979" t="s">
        <v>359</v>
      </c>
    </row>
    <row r="2980" spans="1:34" ht="15.75">
      <c r="A2980" s="29">
        <f t="shared" si="50"/>
        <v>112</v>
      </c>
      <c r="B2980" s="2">
        <v>774</v>
      </c>
      <c r="C2980" s="2">
        <v>3</v>
      </c>
      <c r="D2980" s="2">
        <v>1817</v>
      </c>
      <c r="E2980">
        <v>9762</v>
      </c>
      <c r="G2980" s="1"/>
      <c r="H2980" t="s">
        <v>1540</v>
      </c>
      <c r="I2980" s="2">
        <v>112</v>
      </c>
      <c r="J2980" s="2">
        <v>0</v>
      </c>
      <c r="K2980" s="8" t="s">
        <v>873</v>
      </c>
      <c r="L2980" s="43" t="s">
        <v>1383</v>
      </c>
      <c r="P2980" s="41">
        <v>18</v>
      </c>
      <c r="Q2980" s="41">
        <v>2</v>
      </c>
      <c r="R2980" s="41">
        <v>44</v>
      </c>
      <c r="S2980" t="s">
        <v>874</v>
      </c>
      <c r="AH2980" t="s">
        <v>359</v>
      </c>
    </row>
    <row r="2981" spans="1:34" ht="15.75">
      <c r="A2981" s="29">
        <f t="shared" si="50"/>
        <v>2814</v>
      </c>
      <c r="B2981" s="2">
        <v>774</v>
      </c>
      <c r="C2981" s="2">
        <v>3</v>
      </c>
      <c r="D2981" s="2">
        <v>1817</v>
      </c>
      <c r="E2981">
        <v>9763</v>
      </c>
      <c r="G2981" s="1"/>
      <c r="H2981" t="s">
        <v>1541</v>
      </c>
      <c r="I2981" s="2">
        <v>2814</v>
      </c>
      <c r="J2981" s="2">
        <v>0</v>
      </c>
      <c r="K2981" s="8" t="s">
        <v>873</v>
      </c>
      <c r="L2981" s="43" t="s">
        <v>1383</v>
      </c>
      <c r="P2981" s="41">
        <v>7</v>
      </c>
      <c r="Q2981" s="41">
        <v>5</v>
      </c>
      <c r="R2981" s="41">
        <v>20</v>
      </c>
      <c r="S2981" t="s">
        <v>1547</v>
      </c>
      <c r="AH2981" t="s">
        <v>359</v>
      </c>
    </row>
    <row r="2982" spans="1:34" ht="15.75">
      <c r="A2982" s="29">
        <f t="shared" si="50"/>
        <v>1467</v>
      </c>
      <c r="B2982" s="2">
        <v>774</v>
      </c>
      <c r="C2982" s="2">
        <v>3</v>
      </c>
      <c r="D2982" s="2">
        <v>1817</v>
      </c>
      <c r="E2982">
        <v>9764</v>
      </c>
      <c r="G2982" s="1"/>
      <c r="H2982" t="s">
        <v>1540</v>
      </c>
      <c r="I2982" s="2">
        <v>1467</v>
      </c>
      <c r="J2982" s="2">
        <v>0</v>
      </c>
      <c r="K2982" s="8" t="s">
        <v>873</v>
      </c>
      <c r="L2982" s="43" t="s">
        <v>1383</v>
      </c>
      <c r="P2982" s="41">
        <v>16</v>
      </c>
      <c r="Q2982" s="41">
        <v>10</v>
      </c>
      <c r="R2982" s="41">
        <v>41</v>
      </c>
      <c r="S2982" t="s">
        <v>3321</v>
      </c>
      <c r="AH2982" t="s">
        <v>359</v>
      </c>
    </row>
    <row r="2983" spans="1:34" ht="15.75">
      <c r="A2983" s="29">
        <f t="shared" si="50"/>
        <v>4789</v>
      </c>
      <c r="B2983" s="2">
        <v>774</v>
      </c>
      <c r="C2983" s="2">
        <v>3</v>
      </c>
      <c r="D2983" s="2">
        <v>1817</v>
      </c>
      <c r="E2983">
        <v>9765</v>
      </c>
      <c r="G2983" s="1"/>
      <c r="H2983" t="s">
        <v>1540</v>
      </c>
      <c r="I2983" s="2">
        <f>230+4559</f>
        <v>4789</v>
      </c>
      <c r="J2983" s="2">
        <v>0</v>
      </c>
      <c r="K2983" s="8" t="s">
        <v>873</v>
      </c>
      <c r="L2983" s="43" t="s">
        <v>5771</v>
      </c>
      <c r="P2983" s="41">
        <v>11</v>
      </c>
      <c r="Q2983" s="41">
        <v>3</v>
      </c>
      <c r="R2983" s="41" t="s">
        <v>1547</v>
      </c>
      <c r="S2983" t="s">
        <v>884</v>
      </c>
      <c r="AH2983" t="s">
        <v>359</v>
      </c>
    </row>
    <row r="2984" spans="1:34" ht="15.75">
      <c r="A2984" s="29">
        <f t="shared" si="50"/>
        <v>14000</v>
      </c>
      <c r="B2984" s="2">
        <v>774</v>
      </c>
      <c r="C2984" s="2">
        <v>3</v>
      </c>
      <c r="D2984" s="2">
        <v>1817</v>
      </c>
      <c r="E2984">
        <v>9766</v>
      </c>
      <c r="G2984" s="1"/>
      <c r="H2984" t="s">
        <v>1541</v>
      </c>
      <c r="I2984" s="2">
        <v>14000</v>
      </c>
      <c r="J2984" s="2">
        <v>0</v>
      </c>
      <c r="K2984" s="8" t="s">
        <v>873</v>
      </c>
      <c r="L2984" s="43" t="s">
        <v>5771</v>
      </c>
      <c r="P2984" s="41">
        <v>7</v>
      </c>
      <c r="Q2984" s="41">
        <v>8</v>
      </c>
      <c r="R2984" s="41">
        <v>38</v>
      </c>
      <c r="S2984" t="s">
        <v>3321</v>
      </c>
      <c r="AH2984" t="s">
        <v>359</v>
      </c>
    </row>
    <row r="2985" spans="1:35" ht="15.75">
      <c r="A2985" s="29">
        <f t="shared" si="50"/>
        <v>4889</v>
      </c>
      <c r="B2985" s="2">
        <v>774</v>
      </c>
      <c r="C2985" s="2">
        <v>3</v>
      </c>
      <c r="D2985" s="2">
        <v>1817</v>
      </c>
      <c r="E2985">
        <v>9768</v>
      </c>
      <c r="G2985" s="1"/>
      <c r="H2985" t="s">
        <v>1540</v>
      </c>
      <c r="I2985" s="2">
        <f>4659+230</f>
        <v>4889</v>
      </c>
      <c r="J2985" s="2">
        <v>0</v>
      </c>
      <c r="K2985" s="8" t="s">
        <v>873</v>
      </c>
      <c r="L2985" s="43" t="s">
        <v>1356</v>
      </c>
      <c r="P2985" s="41">
        <v>11</v>
      </c>
      <c r="Q2985" s="41">
        <v>3</v>
      </c>
      <c r="R2985" s="41">
        <v>43</v>
      </c>
      <c r="S2985" t="s">
        <v>1547</v>
      </c>
      <c r="AH2985" t="s">
        <v>359</v>
      </c>
      <c r="AI2985" s="40"/>
    </row>
    <row r="2986" spans="1:34" ht="15.75">
      <c r="A2986" s="29">
        <f t="shared" si="50"/>
        <v>9872</v>
      </c>
      <c r="B2986" s="2">
        <v>774</v>
      </c>
      <c r="C2986" s="2">
        <v>3</v>
      </c>
      <c r="D2986" s="2">
        <v>1817</v>
      </c>
      <c r="E2986">
        <v>9769</v>
      </c>
      <c r="G2986" s="1"/>
      <c r="H2986" t="s">
        <v>1541</v>
      </c>
      <c r="I2986" s="2">
        <v>9872</v>
      </c>
      <c r="J2986" s="2">
        <v>0</v>
      </c>
      <c r="K2986" s="8" t="s">
        <v>873</v>
      </c>
      <c r="L2986" s="43" t="s">
        <v>1356</v>
      </c>
      <c r="P2986" s="41">
        <v>17</v>
      </c>
      <c r="Q2986" s="41">
        <v>3</v>
      </c>
      <c r="R2986" s="41">
        <v>81</v>
      </c>
      <c r="S2986" t="s">
        <v>874</v>
      </c>
      <c r="AH2986" t="s">
        <v>359</v>
      </c>
    </row>
    <row r="2987" spans="1:34" ht="15.75">
      <c r="A2987" s="29">
        <f t="shared" si="50"/>
        <v>107</v>
      </c>
      <c r="B2987" s="2">
        <v>774</v>
      </c>
      <c r="C2987" s="2">
        <v>3</v>
      </c>
      <c r="D2987" s="2">
        <v>1817</v>
      </c>
      <c r="E2987">
        <v>9770</v>
      </c>
      <c r="G2987" s="1"/>
      <c r="H2987" t="s">
        <v>1541</v>
      </c>
      <c r="I2987" s="2">
        <v>107</v>
      </c>
      <c r="J2987" s="2">
        <v>0</v>
      </c>
      <c r="K2987" s="8" t="s">
        <v>873</v>
      </c>
      <c r="L2987" s="43" t="s">
        <v>5770</v>
      </c>
      <c r="P2987" s="41">
        <v>27</v>
      </c>
      <c r="Q2987" s="41">
        <v>7</v>
      </c>
      <c r="R2987" s="41">
        <v>59</v>
      </c>
      <c r="S2987" t="s">
        <v>884</v>
      </c>
      <c r="AH2987" t="s">
        <v>359</v>
      </c>
    </row>
    <row r="2988" spans="1:34" ht="15.75">
      <c r="A2988" s="29">
        <f t="shared" si="50"/>
        <v>22593</v>
      </c>
      <c r="B2988" s="8">
        <v>774</v>
      </c>
      <c r="C2988" s="8">
        <v>3</v>
      </c>
      <c r="D2988" s="8">
        <v>1817</v>
      </c>
      <c r="E2988">
        <v>9771</v>
      </c>
      <c r="F2988" s="9"/>
      <c r="G2988" s="7"/>
      <c r="H2988" s="9" t="s">
        <v>1540</v>
      </c>
      <c r="I2988" s="8">
        <v>5093</v>
      </c>
      <c r="J2988" s="8">
        <f>35000/20</f>
        <v>1750</v>
      </c>
      <c r="K2988" s="8" t="s">
        <v>873</v>
      </c>
      <c r="L2988" s="43" t="s">
        <v>2203</v>
      </c>
      <c r="M2988" s="41" t="s">
        <v>5316</v>
      </c>
      <c r="O2988" s="41" t="s">
        <v>2204</v>
      </c>
      <c r="P2988" s="41">
        <v>2</v>
      </c>
      <c r="Q2988" s="41">
        <v>3</v>
      </c>
      <c r="R2988" s="41">
        <v>84</v>
      </c>
      <c r="S2988" t="s">
        <v>2205</v>
      </c>
      <c r="T2988" t="s">
        <v>2206</v>
      </c>
      <c r="V2988" t="s">
        <v>2207</v>
      </c>
      <c r="X2988">
        <v>0.5</v>
      </c>
      <c r="Y2988" t="s">
        <v>2204</v>
      </c>
      <c r="AH2988" t="s">
        <v>359</v>
      </c>
    </row>
    <row r="2989" spans="1:34" ht="15.75">
      <c r="A2989" s="29">
        <f t="shared" si="50"/>
        <v>1116</v>
      </c>
      <c r="B2989" s="2">
        <v>774</v>
      </c>
      <c r="C2989" s="2">
        <v>3</v>
      </c>
      <c r="D2989" s="2">
        <v>1817</v>
      </c>
      <c r="E2989">
        <v>9772</v>
      </c>
      <c r="G2989" s="1"/>
      <c r="H2989" t="s">
        <v>1541</v>
      </c>
      <c r="I2989" s="2">
        <v>1116</v>
      </c>
      <c r="J2989" s="2">
        <v>0</v>
      </c>
      <c r="K2989" s="8" t="s">
        <v>873</v>
      </c>
      <c r="L2989" s="43" t="s">
        <v>1387</v>
      </c>
      <c r="P2989" s="41">
        <v>15</v>
      </c>
      <c r="Q2989" s="41">
        <v>12</v>
      </c>
      <c r="R2989" s="41">
        <v>57</v>
      </c>
      <c r="S2989" t="s">
        <v>874</v>
      </c>
      <c r="AH2989" t="s">
        <v>359</v>
      </c>
    </row>
    <row r="2990" spans="1:34" ht="15.75">
      <c r="A2990" s="29">
        <f t="shared" si="50"/>
        <v>2160</v>
      </c>
      <c r="B2990" s="2">
        <v>774</v>
      </c>
      <c r="C2990" s="2">
        <v>3</v>
      </c>
      <c r="D2990" s="2">
        <v>1817</v>
      </c>
      <c r="E2990">
        <v>9773</v>
      </c>
      <c r="G2990" s="1"/>
      <c r="H2990" t="s">
        <v>1541</v>
      </c>
      <c r="I2990" s="2">
        <v>2160</v>
      </c>
      <c r="J2990" s="2">
        <v>0</v>
      </c>
      <c r="K2990" s="8" t="s">
        <v>873</v>
      </c>
      <c r="L2990" s="43" t="s">
        <v>1387</v>
      </c>
      <c r="P2990" s="41">
        <v>30</v>
      </c>
      <c r="Q2990" s="41">
        <v>11</v>
      </c>
      <c r="R2990" s="41">
        <v>54</v>
      </c>
      <c r="S2990" t="s">
        <v>3321</v>
      </c>
      <c r="AH2990" t="s">
        <v>359</v>
      </c>
    </row>
    <row r="2991" spans="1:34" ht="15.75">
      <c r="A2991" s="29">
        <f t="shared" si="50"/>
        <v>156</v>
      </c>
      <c r="B2991" s="2">
        <v>774</v>
      </c>
      <c r="C2991" s="2">
        <v>3</v>
      </c>
      <c r="D2991" s="2">
        <v>1817</v>
      </c>
      <c r="E2991">
        <v>9774</v>
      </c>
      <c r="G2991" s="1"/>
      <c r="H2991" t="s">
        <v>1540</v>
      </c>
      <c r="I2991" s="2">
        <v>156</v>
      </c>
      <c r="J2991" s="2">
        <v>0</v>
      </c>
      <c r="K2991" s="8" t="s">
        <v>873</v>
      </c>
      <c r="L2991" s="43" t="s">
        <v>1387</v>
      </c>
      <c r="P2991" s="41">
        <v>4</v>
      </c>
      <c r="Q2991" s="41">
        <v>11</v>
      </c>
      <c r="R2991" s="41">
        <v>81</v>
      </c>
      <c r="S2991" t="s">
        <v>3321</v>
      </c>
      <c r="AH2991" t="s">
        <v>359</v>
      </c>
    </row>
    <row r="2992" spans="1:34" ht="15.75">
      <c r="A2992" s="29">
        <f t="shared" si="50"/>
        <v>19153</v>
      </c>
      <c r="B2992" s="8">
        <v>775</v>
      </c>
      <c r="C2992" s="8">
        <v>3</v>
      </c>
      <c r="D2992" s="8">
        <v>1817</v>
      </c>
      <c r="E2992">
        <v>9775</v>
      </c>
      <c r="F2992" s="9"/>
      <c r="G2992" s="7"/>
      <c r="H2992" s="9" t="s">
        <v>1541</v>
      </c>
      <c r="I2992" s="8">
        <v>6353</v>
      </c>
      <c r="J2992" s="8">
        <v>640</v>
      </c>
      <c r="K2992" s="8" t="s">
        <v>874</v>
      </c>
      <c r="L2992" s="43" t="s">
        <v>2214</v>
      </c>
      <c r="M2992" s="43" t="s">
        <v>900</v>
      </c>
      <c r="N2992" s="43" t="s">
        <v>1555</v>
      </c>
      <c r="O2992" s="43" t="s">
        <v>2215</v>
      </c>
      <c r="P2992" s="43">
        <v>15</v>
      </c>
      <c r="Q2992" s="43">
        <v>1</v>
      </c>
      <c r="R2992" s="43"/>
      <c r="S2992" s="9" t="s">
        <v>2216</v>
      </c>
      <c r="T2992" s="9" t="s">
        <v>3442</v>
      </c>
      <c r="U2992" s="9"/>
      <c r="V2992" s="9" t="s">
        <v>2217</v>
      </c>
      <c r="W2992" s="9"/>
      <c r="X2992" s="9">
        <v>1</v>
      </c>
      <c r="Y2992" s="9" t="s">
        <v>2218</v>
      </c>
      <c r="Z2992" s="9"/>
      <c r="AA2992" s="9"/>
      <c r="AB2992" s="9"/>
      <c r="AC2992" s="9"/>
      <c r="AD2992" s="9"/>
      <c r="AE2992" s="9"/>
      <c r="AF2992" s="9"/>
      <c r="AG2992" s="9"/>
      <c r="AH2992" t="s">
        <v>359</v>
      </c>
    </row>
    <row r="2993" spans="1:34" ht="15.75">
      <c r="A2993" s="29">
        <f t="shared" si="50"/>
        <v>122</v>
      </c>
      <c r="B2993" s="8">
        <v>775</v>
      </c>
      <c r="C2993" s="8">
        <v>3</v>
      </c>
      <c r="D2993" s="8">
        <v>1817</v>
      </c>
      <c r="E2993">
        <v>9776</v>
      </c>
      <c r="F2993" s="9"/>
      <c r="G2993" s="7"/>
      <c r="H2993" s="9" t="s">
        <v>1540</v>
      </c>
      <c r="I2993" s="8">
        <v>122</v>
      </c>
      <c r="J2993" s="8">
        <v>0</v>
      </c>
      <c r="K2993" s="8" t="s">
        <v>874</v>
      </c>
      <c r="L2993" s="43" t="s">
        <v>5772</v>
      </c>
      <c r="P2993" s="41">
        <v>22</v>
      </c>
      <c r="Q2993" s="41">
        <v>11</v>
      </c>
      <c r="R2993" s="41">
        <v>30</v>
      </c>
      <c r="S2993" t="s">
        <v>3321</v>
      </c>
      <c r="AH2993" t="s">
        <v>359</v>
      </c>
    </row>
    <row r="2994" spans="1:34" ht="15.75">
      <c r="A2994" s="29">
        <f t="shared" si="50"/>
        <v>13251</v>
      </c>
      <c r="B2994" s="2">
        <v>775</v>
      </c>
      <c r="C2994" s="2">
        <v>3</v>
      </c>
      <c r="D2994" s="2">
        <v>1817</v>
      </c>
      <c r="E2994">
        <v>9778</v>
      </c>
      <c r="G2994" s="1"/>
      <c r="H2994" t="s">
        <v>1541</v>
      </c>
      <c r="I2994" s="2">
        <f>8301+4950</f>
        <v>13251</v>
      </c>
      <c r="J2994" s="2">
        <v>0</v>
      </c>
      <c r="K2994" s="8" t="s">
        <v>874</v>
      </c>
      <c r="L2994" s="43" t="s">
        <v>4248</v>
      </c>
      <c r="P2994" s="41">
        <v>14</v>
      </c>
      <c r="Q2994" s="41">
        <v>12</v>
      </c>
      <c r="R2994" s="41">
        <v>28</v>
      </c>
      <c r="S2994" t="s">
        <v>3321</v>
      </c>
      <c r="AH2994" t="s">
        <v>359</v>
      </c>
    </row>
    <row r="2995" spans="1:34" ht="15.75">
      <c r="A2995" s="29">
        <f t="shared" si="50"/>
        <v>15</v>
      </c>
      <c r="B2995" s="2">
        <v>775</v>
      </c>
      <c r="C2995" s="2">
        <v>3</v>
      </c>
      <c r="D2995" s="2">
        <v>1817</v>
      </c>
      <c r="E2995">
        <v>9779</v>
      </c>
      <c r="G2995" s="1"/>
      <c r="H2995" t="s">
        <v>1541</v>
      </c>
      <c r="I2995" s="2">
        <v>15</v>
      </c>
      <c r="J2995" s="2">
        <v>0</v>
      </c>
      <c r="K2995" s="8" t="s">
        <v>874</v>
      </c>
      <c r="L2995" s="43" t="s">
        <v>4249</v>
      </c>
      <c r="P2995" s="41">
        <v>26</v>
      </c>
      <c r="Q2995" s="41">
        <v>3</v>
      </c>
      <c r="R2995" s="41">
        <v>53</v>
      </c>
      <c r="S2995" t="s">
        <v>3321</v>
      </c>
      <c r="AH2995" t="s">
        <v>359</v>
      </c>
    </row>
    <row r="2996" spans="1:34" ht="15.75">
      <c r="A2996" s="29">
        <f t="shared" si="50"/>
        <v>199</v>
      </c>
      <c r="B2996" s="2">
        <v>775</v>
      </c>
      <c r="C2996" s="2">
        <v>3</v>
      </c>
      <c r="D2996" s="2">
        <v>1817</v>
      </c>
      <c r="E2996">
        <v>9780</v>
      </c>
      <c r="G2996" s="1"/>
      <c r="H2996" t="s">
        <v>1541</v>
      </c>
      <c r="I2996" s="2">
        <v>199</v>
      </c>
      <c r="J2996" s="2">
        <v>0</v>
      </c>
      <c r="K2996" s="8" t="s">
        <v>874</v>
      </c>
      <c r="L2996" s="43" t="s">
        <v>4249</v>
      </c>
      <c r="P2996" s="41">
        <v>27</v>
      </c>
      <c r="Q2996" s="41">
        <v>5</v>
      </c>
      <c r="R2996" s="41">
        <v>59</v>
      </c>
      <c r="S2996" t="s">
        <v>3321</v>
      </c>
      <c r="AH2996" t="s">
        <v>359</v>
      </c>
    </row>
    <row r="2997" spans="1:34" ht="15.75">
      <c r="A2997" s="29">
        <f t="shared" si="50"/>
        <v>2383</v>
      </c>
      <c r="B2997" s="2">
        <v>775</v>
      </c>
      <c r="C2997" s="2">
        <v>3</v>
      </c>
      <c r="D2997" s="2">
        <v>1817</v>
      </c>
      <c r="E2997">
        <v>9781</v>
      </c>
      <c r="G2997" s="1"/>
      <c r="H2997" t="s">
        <v>1541</v>
      </c>
      <c r="I2997" s="2">
        <v>2383</v>
      </c>
      <c r="J2997" s="2">
        <v>0</v>
      </c>
      <c r="K2997" s="8" t="s">
        <v>874</v>
      </c>
      <c r="L2997" s="43" t="s">
        <v>4249</v>
      </c>
      <c r="P2997" s="41">
        <v>6</v>
      </c>
      <c r="Q2997" s="41">
        <v>5</v>
      </c>
      <c r="R2997" s="41">
        <v>72</v>
      </c>
      <c r="S2997" t="s">
        <v>3321</v>
      </c>
      <c r="AH2997" t="s">
        <v>359</v>
      </c>
    </row>
    <row r="2998" spans="1:34" ht="15.75">
      <c r="A2998" s="29">
        <f t="shared" si="50"/>
        <v>700</v>
      </c>
      <c r="B2998" s="2">
        <v>775</v>
      </c>
      <c r="C2998" s="2">
        <v>3</v>
      </c>
      <c r="D2998" s="2">
        <v>1817</v>
      </c>
      <c r="E2998">
        <v>9782</v>
      </c>
      <c r="G2998" s="1"/>
      <c r="H2998" t="s">
        <v>1541</v>
      </c>
      <c r="I2998" s="2">
        <v>700</v>
      </c>
      <c r="J2998" s="2">
        <v>0</v>
      </c>
      <c r="K2998" s="8" t="s">
        <v>874</v>
      </c>
      <c r="L2998" s="43" t="s">
        <v>4250</v>
      </c>
      <c r="P2998" s="41">
        <v>12</v>
      </c>
      <c r="Q2998" s="41">
        <v>9</v>
      </c>
      <c r="R2998" s="41">
        <v>44</v>
      </c>
      <c r="S2998" t="s">
        <v>3321</v>
      </c>
      <c r="AH2998" t="s">
        <v>359</v>
      </c>
    </row>
    <row r="2999" spans="1:34" ht="15.75">
      <c r="A2999" s="29">
        <f t="shared" si="50"/>
        <v>141</v>
      </c>
      <c r="B2999" s="2">
        <v>776</v>
      </c>
      <c r="C2999" s="2">
        <v>3</v>
      </c>
      <c r="D2999" s="2">
        <v>1817</v>
      </c>
      <c r="E2999">
        <v>9783</v>
      </c>
      <c r="G2999" s="1"/>
      <c r="H2999" t="s">
        <v>1541</v>
      </c>
      <c r="I2999" s="2">
        <v>141</v>
      </c>
      <c r="J2999" s="2">
        <v>0</v>
      </c>
      <c r="K2999" s="8" t="s">
        <v>874</v>
      </c>
      <c r="L2999" s="43" t="s">
        <v>1393</v>
      </c>
      <c r="P2999" s="41">
        <v>11</v>
      </c>
      <c r="Q2999" s="41">
        <v>7</v>
      </c>
      <c r="R2999" s="41">
        <v>65</v>
      </c>
      <c r="S2999" t="s">
        <v>3321</v>
      </c>
      <c r="AH2999" t="s">
        <v>359</v>
      </c>
    </row>
    <row r="3000" spans="1:34" ht="15.75">
      <c r="A3000" s="29">
        <f t="shared" si="50"/>
        <v>366</v>
      </c>
      <c r="B3000" s="8">
        <v>776</v>
      </c>
      <c r="C3000" s="8">
        <v>3</v>
      </c>
      <c r="D3000" s="8">
        <v>1817</v>
      </c>
      <c r="E3000">
        <v>9784</v>
      </c>
      <c r="F3000" s="9"/>
      <c r="G3000" s="7"/>
      <c r="H3000" s="9" t="s">
        <v>1540</v>
      </c>
      <c r="I3000" s="8">
        <v>366</v>
      </c>
      <c r="J3000" s="8">
        <v>0</v>
      </c>
      <c r="K3000" s="8" t="s">
        <v>874</v>
      </c>
      <c r="L3000" s="43" t="s">
        <v>1393</v>
      </c>
      <c r="P3000" s="41">
        <v>11</v>
      </c>
      <c r="Q3000" s="41">
        <v>9</v>
      </c>
      <c r="R3000" s="41" t="s">
        <v>1547</v>
      </c>
      <c r="S3000" t="s">
        <v>3321</v>
      </c>
      <c r="AH3000" t="s">
        <v>359</v>
      </c>
    </row>
    <row r="3001" spans="1:34" ht="15.75">
      <c r="A3001" s="29">
        <f t="shared" si="50"/>
        <v>250209</v>
      </c>
      <c r="B3001" s="8">
        <v>776</v>
      </c>
      <c r="C3001" s="8">
        <v>3</v>
      </c>
      <c r="D3001" s="8">
        <v>1817</v>
      </c>
      <c r="E3001">
        <v>9785</v>
      </c>
      <c r="F3001" s="9"/>
      <c r="G3001" s="7"/>
      <c r="H3001" s="9" t="s">
        <v>1540</v>
      </c>
      <c r="I3001" s="8">
        <v>220209</v>
      </c>
      <c r="J3001" s="8">
        <v>1500</v>
      </c>
      <c r="K3001" s="8" t="s">
        <v>874</v>
      </c>
      <c r="L3001" s="43" t="s">
        <v>3495</v>
      </c>
      <c r="M3001" s="41" t="s">
        <v>3496</v>
      </c>
      <c r="N3001" s="41" t="s">
        <v>1555</v>
      </c>
      <c r="O3001" s="41" t="s">
        <v>3497</v>
      </c>
      <c r="P3001" s="41">
        <v>15</v>
      </c>
      <c r="Q3001" s="41">
        <v>11</v>
      </c>
      <c r="R3001" s="41">
        <v>77</v>
      </c>
      <c r="S3001" t="s">
        <v>3498</v>
      </c>
      <c r="T3001" t="s">
        <v>3499</v>
      </c>
      <c r="V3001" t="s">
        <v>2935</v>
      </c>
      <c r="X3001">
        <v>1</v>
      </c>
      <c r="Y3001" t="s">
        <v>3500</v>
      </c>
      <c r="AH3001" t="s">
        <v>359</v>
      </c>
    </row>
    <row r="3002" spans="1:34" ht="15.75">
      <c r="A3002" s="29">
        <f t="shared" si="50"/>
        <v>64</v>
      </c>
      <c r="B3002" s="8">
        <v>776</v>
      </c>
      <c r="C3002" s="8">
        <v>3</v>
      </c>
      <c r="D3002" s="8">
        <v>1817</v>
      </c>
      <c r="E3002">
        <v>9786</v>
      </c>
      <c r="F3002" s="9"/>
      <c r="G3002" s="7"/>
      <c r="H3002" s="9" t="s">
        <v>1541</v>
      </c>
      <c r="I3002" s="8">
        <v>64</v>
      </c>
      <c r="J3002" s="8">
        <v>0</v>
      </c>
      <c r="K3002" s="8" t="s">
        <v>874</v>
      </c>
      <c r="L3002" s="43" t="s">
        <v>4939</v>
      </c>
      <c r="P3002" s="41">
        <v>27</v>
      </c>
      <c r="Q3002" s="41">
        <v>7</v>
      </c>
      <c r="R3002" s="41">
        <v>48</v>
      </c>
      <c r="S3002" t="s">
        <v>3321</v>
      </c>
      <c r="AH3002" t="s">
        <v>359</v>
      </c>
    </row>
    <row r="3003" spans="1:34" ht="15.75">
      <c r="A3003" s="29">
        <f t="shared" si="50"/>
        <v>7744</v>
      </c>
      <c r="B3003" s="8">
        <v>776</v>
      </c>
      <c r="C3003" s="8">
        <v>3</v>
      </c>
      <c r="D3003" s="8">
        <v>1817</v>
      </c>
      <c r="E3003">
        <v>9787</v>
      </c>
      <c r="F3003" s="9"/>
      <c r="G3003" s="7"/>
      <c r="H3003" s="9" t="s">
        <v>1540</v>
      </c>
      <c r="I3003" s="8">
        <v>7744</v>
      </c>
      <c r="J3003" s="8">
        <v>0</v>
      </c>
      <c r="K3003" s="8" t="s">
        <v>874</v>
      </c>
      <c r="L3003" s="43" t="s">
        <v>4939</v>
      </c>
      <c r="P3003" s="41">
        <v>16</v>
      </c>
      <c r="Q3003" s="41">
        <v>1</v>
      </c>
      <c r="R3003" s="41">
        <v>32</v>
      </c>
      <c r="S3003" t="s">
        <v>3321</v>
      </c>
      <c r="AH3003" t="s">
        <v>359</v>
      </c>
    </row>
    <row r="3004" spans="1:34" ht="15.75">
      <c r="A3004" s="29">
        <f t="shared" si="50"/>
        <v>8672</v>
      </c>
      <c r="B3004" s="8">
        <v>776</v>
      </c>
      <c r="C3004" s="8">
        <v>3</v>
      </c>
      <c r="D3004" s="8">
        <v>1817</v>
      </c>
      <c r="E3004">
        <v>9788</v>
      </c>
      <c r="F3004" s="9"/>
      <c r="G3004" s="7"/>
      <c r="H3004" s="9" t="s">
        <v>1541</v>
      </c>
      <c r="I3004" s="8">
        <f>8527+145</f>
        <v>8672</v>
      </c>
      <c r="J3004" s="8">
        <v>0</v>
      </c>
      <c r="K3004" s="8" t="s">
        <v>874</v>
      </c>
      <c r="L3004" s="43" t="s">
        <v>5795</v>
      </c>
      <c r="P3004" s="41">
        <v>17</v>
      </c>
      <c r="Q3004" s="41">
        <v>2</v>
      </c>
      <c r="R3004" s="41">
        <v>75</v>
      </c>
      <c r="S3004" t="s">
        <v>874</v>
      </c>
      <c r="AH3004" t="s">
        <v>359</v>
      </c>
    </row>
    <row r="3005" spans="1:34" ht="15.75">
      <c r="A3005" s="29">
        <f t="shared" si="50"/>
        <v>280</v>
      </c>
      <c r="B3005" s="8">
        <v>776</v>
      </c>
      <c r="C3005" s="8">
        <v>3</v>
      </c>
      <c r="D3005" s="8">
        <v>1817</v>
      </c>
      <c r="E3005">
        <v>9789</v>
      </c>
      <c r="F3005" s="9"/>
      <c r="G3005" s="7"/>
      <c r="H3005" s="9" t="s">
        <v>1540</v>
      </c>
      <c r="I3005" s="8">
        <v>280</v>
      </c>
      <c r="J3005" s="8">
        <v>0</v>
      </c>
      <c r="K3005" s="8" t="s">
        <v>874</v>
      </c>
      <c r="L3005" s="43" t="s">
        <v>5795</v>
      </c>
      <c r="P3005" s="41">
        <v>30</v>
      </c>
      <c r="Q3005" s="41">
        <v>4</v>
      </c>
      <c r="R3005" s="41">
        <v>37</v>
      </c>
      <c r="S3005" t="s">
        <v>3321</v>
      </c>
      <c r="AH3005" t="s">
        <v>359</v>
      </c>
    </row>
    <row r="3006" spans="1:34" ht="15.75">
      <c r="A3006" s="29">
        <f t="shared" si="50"/>
        <v>994</v>
      </c>
      <c r="B3006" s="8">
        <v>776</v>
      </c>
      <c r="C3006" s="8">
        <v>3</v>
      </c>
      <c r="D3006" s="8">
        <v>1817</v>
      </c>
      <c r="E3006">
        <v>9790</v>
      </c>
      <c r="F3006" s="9"/>
      <c r="G3006" s="7"/>
      <c r="H3006" s="9" t="s">
        <v>1540</v>
      </c>
      <c r="I3006" s="8">
        <f>806+138+50</f>
        <v>994</v>
      </c>
      <c r="J3006" s="8">
        <v>0</v>
      </c>
      <c r="K3006" s="8" t="s">
        <v>874</v>
      </c>
      <c r="L3006" s="43" t="s">
        <v>5796</v>
      </c>
      <c r="P3006" s="41">
        <v>14</v>
      </c>
      <c r="Q3006" s="41">
        <v>2</v>
      </c>
      <c r="R3006" s="41">
        <v>64</v>
      </c>
      <c r="S3006" t="s">
        <v>1547</v>
      </c>
      <c r="AH3006" t="s">
        <v>359</v>
      </c>
    </row>
    <row r="3007" spans="1:34" ht="15.75">
      <c r="A3007" s="29">
        <f t="shared" si="50"/>
        <v>97672</v>
      </c>
      <c r="B3007" s="8">
        <v>776</v>
      </c>
      <c r="C3007" s="8">
        <v>3</v>
      </c>
      <c r="D3007" s="8">
        <v>1817</v>
      </c>
      <c r="E3007">
        <v>9791</v>
      </c>
      <c r="F3007" s="9"/>
      <c r="G3007" s="7"/>
      <c r="H3007" s="9" t="s">
        <v>1541</v>
      </c>
      <c r="I3007" s="8">
        <v>39672</v>
      </c>
      <c r="J3007" s="8">
        <f>1600+4200</f>
        <v>5800</v>
      </c>
      <c r="K3007" s="8" t="s">
        <v>874</v>
      </c>
      <c r="L3007" s="43" t="s">
        <v>3501</v>
      </c>
      <c r="M3007" s="41" t="s">
        <v>1477</v>
      </c>
      <c r="O3007" s="41" t="s">
        <v>3502</v>
      </c>
      <c r="P3007" s="41">
        <v>15</v>
      </c>
      <c r="Q3007" s="41">
        <v>9</v>
      </c>
      <c r="R3007" s="41">
        <v>44</v>
      </c>
      <c r="S3007" t="s">
        <v>3503</v>
      </c>
      <c r="T3007" t="s">
        <v>4205</v>
      </c>
      <c r="V3007" t="s">
        <v>1552</v>
      </c>
      <c r="X3007">
        <v>0.5</v>
      </c>
      <c r="Y3007" t="s">
        <v>3504</v>
      </c>
      <c r="AH3007" t="s">
        <v>359</v>
      </c>
    </row>
    <row r="3008" spans="1:34" ht="15.75">
      <c r="A3008" s="29">
        <f t="shared" si="50"/>
        <v>18602</v>
      </c>
      <c r="B3008" s="8">
        <v>776</v>
      </c>
      <c r="C3008" s="8">
        <v>3</v>
      </c>
      <c r="D3008" s="8">
        <v>1817</v>
      </c>
      <c r="E3008">
        <v>9792</v>
      </c>
      <c r="F3008" s="9"/>
      <c r="G3008" s="7"/>
      <c r="H3008" s="9" t="s">
        <v>1541</v>
      </c>
      <c r="I3008" s="8">
        <v>602</v>
      </c>
      <c r="J3008" s="8">
        <v>900</v>
      </c>
      <c r="K3008" s="8" t="s">
        <v>874</v>
      </c>
      <c r="L3008" s="43" t="s">
        <v>3505</v>
      </c>
      <c r="M3008" s="41" t="s">
        <v>3506</v>
      </c>
      <c r="N3008" s="41" t="s">
        <v>3507</v>
      </c>
      <c r="O3008" s="41" t="s">
        <v>3508</v>
      </c>
      <c r="P3008" s="41">
        <v>7</v>
      </c>
      <c r="Q3008" s="41">
        <v>7</v>
      </c>
      <c r="R3008" s="41">
        <v>76</v>
      </c>
      <c r="S3008" t="s">
        <v>3509</v>
      </c>
      <c r="T3008" t="s">
        <v>3510</v>
      </c>
      <c r="V3008" t="s">
        <v>3511</v>
      </c>
      <c r="X3008">
        <v>1</v>
      </c>
      <c r="Y3008" t="s">
        <v>3512</v>
      </c>
      <c r="AH3008" t="s">
        <v>359</v>
      </c>
    </row>
    <row r="3009" spans="1:34" ht="15.75">
      <c r="A3009" s="29">
        <f t="shared" si="50"/>
        <v>632</v>
      </c>
      <c r="B3009" s="8">
        <v>776</v>
      </c>
      <c r="C3009" s="8">
        <v>3</v>
      </c>
      <c r="D3009" s="8">
        <v>1817</v>
      </c>
      <c r="E3009">
        <v>9793</v>
      </c>
      <c r="F3009" s="9"/>
      <c r="G3009" s="7"/>
      <c r="H3009" s="9" t="s">
        <v>1541</v>
      </c>
      <c r="I3009" s="8">
        <v>632</v>
      </c>
      <c r="J3009" s="8">
        <v>0</v>
      </c>
      <c r="K3009" s="8" t="s">
        <v>874</v>
      </c>
      <c r="L3009" s="43" t="s">
        <v>5799</v>
      </c>
      <c r="P3009" s="41">
        <v>31</v>
      </c>
      <c r="Q3009" s="41">
        <v>3</v>
      </c>
      <c r="R3009" s="41">
        <v>74</v>
      </c>
      <c r="S3009" t="s">
        <v>884</v>
      </c>
      <c r="AH3009" t="s">
        <v>359</v>
      </c>
    </row>
    <row r="3010" spans="1:34" ht="15.75">
      <c r="A3010" s="29">
        <f t="shared" si="50"/>
        <v>2172</v>
      </c>
      <c r="B3010" s="8">
        <v>776</v>
      </c>
      <c r="C3010" s="8">
        <v>3</v>
      </c>
      <c r="D3010" s="8">
        <v>1817</v>
      </c>
      <c r="E3010">
        <v>9794</v>
      </c>
      <c r="F3010" s="9"/>
      <c r="G3010" s="7"/>
      <c r="H3010" s="9" t="s">
        <v>1541</v>
      </c>
      <c r="I3010" s="8">
        <v>2172</v>
      </c>
      <c r="J3010" s="8">
        <v>0</v>
      </c>
      <c r="K3010" s="8" t="s">
        <v>874</v>
      </c>
      <c r="L3010" s="43" t="s">
        <v>5799</v>
      </c>
      <c r="P3010" s="41">
        <v>20</v>
      </c>
      <c r="Q3010" s="41">
        <v>11</v>
      </c>
      <c r="R3010" s="41">
        <v>76</v>
      </c>
      <c r="S3010" t="s">
        <v>3321</v>
      </c>
      <c r="AH3010" t="s">
        <v>359</v>
      </c>
    </row>
    <row r="3011" spans="1:34" ht="15.75">
      <c r="A3011" s="29">
        <f t="shared" si="50"/>
        <v>406</v>
      </c>
      <c r="B3011" s="8">
        <v>776</v>
      </c>
      <c r="C3011" s="8">
        <v>3</v>
      </c>
      <c r="D3011" s="8">
        <v>1817</v>
      </c>
      <c r="E3011">
        <v>9795</v>
      </c>
      <c r="F3011" s="9"/>
      <c r="G3011" s="7"/>
      <c r="H3011" s="9" t="s">
        <v>1540</v>
      </c>
      <c r="I3011" s="8">
        <v>406</v>
      </c>
      <c r="J3011" s="8">
        <v>0</v>
      </c>
      <c r="K3011" s="8" t="s">
        <v>874</v>
      </c>
      <c r="L3011" s="43" t="s">
        <v>5801</v>
      </c>
      <c r="P3011" s="41">
        <v>12</v>
      </c>
      <c r="Q3011" s="41">
        <v>5</v>
      </c>
      <c r="R3011" s="41">
        <v>61</v>
      </c>
      <c r="S3011" t="s">
        <v>874</v>
      </c>
      <c r="AH3011" t="s">
        <v>359</v>
      </c>
    </row>
    <row r="3012" spans="1:34" ht="15.75">
      <c r="A3012" s="29">
        <f t="shared" si="50"/>
        <v>42</v>
      </c>
      <c r="B3012" s="8">
        <v>776</v>
      </c>
      <c r="C3012" s="8">
        <v>3</v>
      </c>
      <c r="D3012" s="8">
        <v>1817</v>
      </c>
      <c r="E3012">
        <v>9796</v>
      </c>
      <c r="F3012" s="9"/>
      <c r="G3012" s="7"/>
      <c r="H3012" s="9" t="s">
        <v>1540</v>
      </c>
      <c r="I3012" s="8">
        <v>42</v>
      </c>
      <c r="J3012" s="8">
        <v>0</v>
      </c>
      <c r="K3012" s="8" t="s">
        <v>874</v>
      </c>
      <c r="L3012" s="43" t="s">
        <v>1360</v>
      </c>
      <c r="P3012" s="41">
        <v>13</v>
      </c>
      <c r="Q3012" s="41">
        <v>5</v>
      </c>
      <c r="R3012" s="41">
        <v>60</v>
      </c>
      <c r="S3012" t="s">
        <v>3321</v>
      </c>
      <c r="AH3012" t="s">
        <v>359</v>
      </c>
    </row>
    <row r="3013" spans="1:34" ht="15.75">
      <c r="A3013" s="29">
        <f t="shared" si="50"/>
        <v>15321</v>
      </c>
      <c r="B3013" s="8">
        <v>776</v>
      </c>
      <c r="C3013" s="8">
        <v>3</v>
      </c>
      <c r="D3013" s="8">
        <v>1817</v>
      </c>
      <c r="E3013">
        <v>9798</v>
      </c>
      <c r="F3013" s="9"/>
      <c r="G3013" s="7"/>
      <c r="H3013" s="9" t="s">
        <v>1540</v>
      </c>
      <c r="I3013" s="8">
        <v>321</v>
      </c>
      <c r="J3013" s="8">
        <v>750</v>
      </c>
      <c r="K3013" s="8" t="s">
        <v>874</v>
      </c>
      <c r="L3013" s="43" t="s">
        <v>3517</v>
      </c>
      <c r="M3013" s="41" t="s">
        <v>1375</v>
      </c>
      <c r="N3013" s="41" t="s">
        <v>389</v>
      </c>
      <c r="O3013" s="41" t="s">
        <v>3518</v>
      </c>
      <c r="P3013" s="41">
        <v>12</v>
      </c>
      <c r="Q3013" s="41">
        <v>1</v>
      </c>
      <c r="R3013" s="41">
        <v>72</v>
      </c>
      <c r="S3013" t="s">
        <v>3519</v>
      </c>
      <c r="T3013" t="s">
        <v>2974</v>
      </c>
      <c r="V3013" t="s">
        <v>1287</v>
      </c>
      <c r="X3013">
        <v>1</v>
      </c>
      <c r="Y3013" t="s">
        <v>3520</v>
      </c>
      <c r="AH3013" t="s">
        <v>359</v>
      </c>
    </row>
    <row r="3014" spans="1:34" ht="15.75">
      <c r="A3014" s="29">
        <f t="shared" si="50"/>
        <v>4208</v>
      </c>
      <c r="B3014" s="2">
        <v>777</v>
      </c>
      <c r="C3014" s="2">
        <v>3</v>
      </c>
      <c r="D3014" s="2">
        <v>1817</v>
      </c>
      <c r="E3014">
        <v>9799</v>
      </c>
      <c r="G3014" s="1"/>
      <c r="H3014" t="s">
        <v>1540</v>
      </c>
      <c r="I3014" s="2">
        <v>4208</v>
      </c>
      <c r="J3014" s="2">
        <v>0</v>
      </c>
      <c r="K3014" s="8" t="s">
        <v>874</v>
      </c>
      <c r="L3014" s="43" t="s">
        <v>1358</v>
      </c>
      <c r="P3014" s="41">
        <v>27</v>
      </c>
      <c r="Q3014" s="41">
        <v>11</v>
      </c>
      <c r="R3014" s="41" t="s">
        <v>1547</v>
      </c>
      <c r="S3014" t="s">
        <v>3321</v>
      </c>
      <c r="AH3014" t="s">
        <v>359</v>
      </c>
    </row>
    <row r="3015" spans="1:34" ht="15.75">
      <c r="A3015" s="29">
        <f t="shared" si="50"/>
        <v>65</v>
      </c>
      <c r="B3015" s="8">
        <v>776</v>
      </c>
      <c r="C3015" s="8">
        <v>3</v>
      </c>
      <c r="D3015" s="8">
        <v>1817</v>
      </c>
      <c r="E3015">
        <v>9801</v>
      </c>
      <c r="F3015" s="9"/>
      <c r="G3015" s="7"/>
      <c r="H3015" s="9" t="s">
        <v>1541</v>
      </c>
      <c r="I3015" s="8">
        <v>65</v>
      </c>
      <c r="J3015" s="8">
        <v>0</v>
      </c>
      <c r="K3015" s="8" t="s">
        <v>874</v>
      </c>
      <c r="L3015" s="43" t="s">
        <v>5800</v>
      </c>
      <c r="P3015" s="41">
        <v>24</v>
      </c>
      <c r="Q3015" s="41">
        <v>7</v>
      </c>
      <c r="R3015" s="41">
        <v>3</v>
      </c>
      <c r="S3015" t="s">
        <v>884</v>
      </c>
      <c r="AH3015" t="s">
        <v>359</v>
      </c>
    </row>
    <row r="3016" spans="1:34" ht="15.75">
      <c r="A3016" s="29" t="e">
        <f t="shared" si="50"/>
        <v>#VALUE!</v>
      </c>
      <c r="B3016" s="2">
        <v>756</v>
      </c>
      <c r="C3016" s="2">
        <v>3</v>
      </c>
      <c r="D3016" s="2">
        <v>1817</v>
      </c>
      <c r="E3016">
        <v>10699</v>
      </c>
      <c r="H3016" t="s">
        <v>1540</v>
      </c>
      <c r="I3016" s="1">
        <v>0</v>
      </c>
      <c r="J3016" s="1" t="s">
        <v>1547</v>
      </c>
      <c r="K3016" s="2" t="s">
        <v>866</v>
      </c>
      <c r="N3016" s="41" t="s">
        <v>3407</v>
      </c>
      <c r="O3016" s="41" t="s">
        <v>1997</v>
      </c>
      <c r="V3016" t="s">
        <v>1998</v>
      </c>
      <c r="X3016">
        <v>0.5</v>
      </c>
      <c r="Y3016" t="s">
        <v>1999</v>
      </c>
      <c r="AH3016" t="s">
        <v>359</v>
      </c>
    </row>
    <row r="3017" spans="1:34" ht="15.75">
      <c r="A3017" s="29">
        <f t="shared" si="50"/>
        <v>10973</v>
      </c>
      <c r="B3017" s="2">
        <v>760</v>
      </c>
      <c r="C3017" s="2">
        <v>3</v>
      </c>
      <c r="D3017" s="2">
        <v>1817</v>
      </c>
      <c r="E3017">
        <v>10841</v>
      </c>
      <c r="G3017" s="1"/>
      <c r="H3017" t="s">
        <v>1540</v>
      </c>
      <c r="I3017" s="2">
        <v>10973</v>
      </c>
      <c r="J3017" s="2">
        <v>0</v>
      </c>
      <c r="K3017" s="2" t="s">
        <v>867</v>
      </c>
      <c r="L3017" s="43" t="s">
        <v>867</v>
      </c>
      <c r="P3017" s="41">
        <v>19</v>
      </c>
      <c r="Q3017" s="41">
        <v>8</v>
      </c>
      <c r="R3017" s="41" t="s">
        <v>1547</v>
      </c>
      <c r="S3017" t="s">
        <v>3321</v>
      </c>
      <c r="AH3017" t="s">
        <v>359</v>
      </c>
    </row>
    <row r="3018" spans="1:34" ht="15.75">
      <c r="A3018" s="29">
        <f t="shared" si="50"/>
        <v>628</v>
      </c>
      <c r="B3018" s="2">
        <v>770</v>
      </c>
      <c r="C3018" s="2">
        <v>3</v>
      </c>
      <c r="D3018" s="2">
        <v>1817</v>
      </c>
      <c r="E3018">
        <v>11116</v>
      </c>
      <c r="G3018" s="1"/>
      <c r="H3018" t="s">
        <v>1540</v>
      </c>
      <c r="I3018" s="2">
        <v>628</v>
      </c>
      <c r="J3018" s="2">
        <v>0</v>
      </c>
      <c r="K3018" s="1" t="s">
        <v>871</v>
      </c>
      <c r="AH3018" t="s">
        <v>359</v>
      </c>
    </row>
    <row r="3019" spans="1:34" ht="15.75">
      <c r="A3019" s="29">
        <f t="shared" si="50"/>
        <v>36</v>
      </c>
      <c r="B3019" s="30">
        <v>549</v>
      </c>
      <c r="C3019" s="30">
        <v>1</v>
      </c>
      <c r="D3019" s="30">
        <v>1817</v>
      </c>
      <c r="E3019">
        <v>11319</v>
      </c>
      <c r="H3019" t="s">
        <v>1540</v>
      </c>
      <c r="I3019" s="30">
        <v>36</v>
      </c>
      <c r="J3019" s="30">
        <v>0</v>
      </c>
      <c r="K3019" s="30" t="s">
        <v>862</v>
      </c>
      <c r="L3019" s="43" t="s">
        <v>1361</v>
      </c>
      <c r="P3019" s="41">
        <v>7</v>
      </c>
      <c r="Q3019" s="41">
        <v>9</v>
      </c>
      <c r="R3019" s="41">
        <v>20</v>
      </c>
      <c r="S3019" s="30" t="s">
        <v>3343</v>
      </c>
      <c r="T3019" s="30"/>
      <c r="V3019" s="30"/>
      <c r="W3019" s="30"/>
      <c r="X3019" s="30"/>
      <c r="AA3019" s="33"/>
      <c r="AB3019" s="30"/>
      <c r="AD3019" s="30"/>
      <c r="AH3019" t="s">
        <v>359</v>
      </c>
    </row>
    <row r="3020" spans="1:34" ht="15.75">
      <c r="A3020" s="29">
        <f t="shared" si="50"/>
        <v>2242</v>
      </c>
      <c r="B3020" s="30">
        <v>549</v>
      </c>
      <c r="C3020" s="30">
        <v>1</v>
      </c>
      <c r="D3020" s="30">
        <v>1817</v>
      </c>
      <c r="E3020">
        <v>11320</v>
      </c>
      <c r="H3020" t="s">
        <v>1540</v>
      </c>
      <c r="I3020" s="30">
        <v>2242</v>
      </c>
      <c r="J3020" s="30">
        <v>0</v>
      </c>
      <c r="K3020" s="30" t="s">
        <v>862</v>
      </c>
      <c r="L3020" s="43" t="s">
        <v>1362</v>
      </c>
      <c r="P3020" s="41">
        <v>27</v>
      </c>
      <c r="Q3020" s="41">
        <v>11</v>
      </c>
      <c r="R3020" s="41">
        <v>82</v>
      </c>
      <c r="S3020" t="s">
        <v>3321</v>
      </c>
      <c r="T3020" s="30"/>
      <c r="V3020" s="30"/>
      <c r="W3020" s="30"/>
      <c r="X3020" s="30"/>
      <c r="AA3020" s="33"/>
      <c r="AB3020" s="30"/>
      <c r="AD3020" s="30"/>
      <c r="AH3020" t="s">
        <v>359</v>
      </c>
    </row>
    <row r="3021" spans="1:34" ht="15.75">
      <c r="A3021" s="29">
        <f t="shared" si="50"/>
        <v>412</v>
      </c>
      <c r="B3021" s="30">
        <v>549</v>
      </c>
      <c r="C3021" s="30">
        <v>1</v>
      </c>
      <c r="D3021" s="30">
        <v>1817</v>
      </c>
      <c r="E3021">
        <v>11321</v>
      </c>
      <c r="H3021" t="s">
        <v>1540</v>
      </c>
      <c r="I3021" s="30">
        <v>412</v>
      </c>
      <c r="J3021" s="30">
        <v>0</v>
      </c>
      <c r="K3021" s="30" t="s">
        <v>862</v>
      </c>
      <c r="L3021" s="43" t="s">
        <v>977</v>
      </c>
      <c r="P3021" s="41">
        <v>22</v>
      </c>
      <c r="Q3021" s="41">
        <v>9</v>
      </c>
      <c r="R3021" s="41">
        <v>2</v>
      </c>
      <c r="S3021" s="30" t="s">
        <v>3343</v>
      </c>
      <c r="T3021" s="30"/>
      <c r="V3021" s="30"/>
      <c r="W3021" s="30"/>
      <c r="X3021" s="30"/>
      <c r="AA3021" s="33"/>
      <c r="AB3021" s="30"/>
      <c r="AD3021" s="30"/>
      <c r="AH3021" t="s">
        <v>359</v>
      </c>
    </row>
    <row r="3022" spans="1:34" ht="15.75">
      <c r="A3022" s="29">
        <f t="shared" si="50"/>
        <v>12</v>
      </c>
      <c r="B3022" s="30">
        <v>549</v>
      </c>
      <c r="C3022" s="30">
        <v>1</v>
      </c>
      <c r="D3022" s="30">
        <v>1817</v>
      </c>
      <c r="E3022">
        <v>11322</v>
      </c>
      <c r="H3022" t="s">
        <v>1540</v>
      </c>
      <c r="I3022" s="30">
        <v>12</v>
      </c>
      <c r="J3022" s="30">
        <v>0</v>
      </c>
      <c r="K3022" s="30" t="s">
        <v>862</v>
      </c>
      <c r="L3022" s="43" t="s">
        <v>3893</v>
      </c>
      <c r="P3022" s="41">
        <v>1</v>
      </c>
      <c r="Q3022" s="41">
        <v>3</v>
      </c>
      <c r="R3022" s="41">
        <v>55</v>
      </c>
      <c r="S3022" s="30" t="s">
        <v>1011</v>
      </c>
      <c r="T3022" s="30"/>
      <c r="V3022" s="30"/>
      <c r="W3022" s="30"/>
      <c r="X3022" s="30"/>
      <c r="AA3022" s="33"/>
      <c r="AB3022" s="30"/>
      <c r="AD3022" s="30"/>
      <c r="AH3022" t="s">
        <v>359</v>
      </c>
    </row>
    <row r="3023" spans="1:34" ht="15.75">
      <c r="A3023" s="29">
        <f t="shared" si="50"/>
        <v>48</v>
      </c>
      <c r="B3023" s="30">
        <v>549</v>
      </c>
      <c r="C3023" s="30">
        <v>1</v>
      </c>
      <c r="D3023" s="30">
        <v>1817</v>
      </c>
      <c r="E3023">
        <v>11324</v>
      </c>
      <c r="H3023" t="s">
        <v>1541</v>
      </c>
      <c r="I3023" s="30">
        <v>48</v>
      </c>
      <c r="J3023" s="30">
        <v>0</v>
      </c>
      <c r="K3023" s="30" t="s">
        <v>862</v>
      </c>
      <c r="L3023" s="43" t="s">
        <v>978</v>
      </c>
      <c r="P3023" s="41">
        <v>24</v>
      </c>
      <c r="Q3023" s="41">
        <v>2</v>
      </c>
      <c r="R3023" s="41">
        <v>74</v>
      </c>
      <c r="S3023" s="30" t="s">
        <v>1011</v>
      </c>
      <c r="T3023" s="30"/>
      <c r="V3023" s="30"/>
      <c r="W3023" s="30"/>
      <c r="X3023" s="30"/>
      <c r="AA3023" s="33"/>
      <c r="AB3023" s="30"/>
      <c r="AD3023" s="30"/>
      <c r="AH3023" t="s">
        <v>359</v>
      </c>
    </row>
    <row r="3024" spans="1:34" ht="15.75">
      <c r="A3024" s="29">
        <f t="shared" si="50"/>
        <v>158</v>
      </c>
      <c r="B3024" s="30">
        <v>550</v>
      </c>
      <c r="C3024" s="30">
        <v>1</v>
      </c>
      <c r="D3024" s="30">
        <v>1817</v>
      </c>
      <c r="E3024">
        <v>11334</v>
      </c>
      <c r="H3024" t="s">
        <v>1540</v>
      </c>
      <c r="I3024" s="30">
        <v>158</v>
      </c>
      <c r="J3024" s="30">
        <v>0</v>
      </c>
      <c r="K3024" s="30" t="s">
        <v>862</v>
      </c>
      <c r="L3024" s="43" t="s">
        <v>979</v>
      </c>
      <c r="P3024" s="41">
        <v>5</v>
      </c>
      <c r="Q3024" s="41">
        <v>9</v>
      </c>
      <c r="R3024" s="41" t="s">
        <v>1547</v>
      </c>
      <c r="S3024" t="s">
        <v>3321</v>
      </c>
      <c r="AH3024" t="s">
        <v>359</v>
      </c>
    </row>
    <row r="3025" spans="1:34" ht="15.75">
      <c r="A3025" s="29">
        <f t="shared" si="50"/>
        <v>184</v>
      </c>
      <c r="B3025" s="30">
        <v>550</v>
      </c>
      <c r="C3025" s="30">
        <v>1</v>
      </c>
      <c r="D3025" s="30">
        <v>1817</v>
      </c>
      <c r="E3025">
        <v>11335</v>
      </c>
      <c r="H3025" t="s">
        <v>1540</v>
      </c>
      <c r="I3025" s="30">
        <v>184</v>
      </c>
      <c r="J3025" s="30">
        <v>0</v>
      </c>
      <c r="K3025" s="30" t="s">
        <v>862</v>
      </c>
      <c r="L3025" s="43" t="s">
        <v>3895</v>
      </c>
      <c r="P3025" s="41">
        <v>9</v>
      </c>
      <c r="Q3025" s="41">
        <v>9</v>
      </c>
      <c r="R3025" s="41">
        <v>38</v>
      </c>
      <c r="S3025" t="s">
        <v>3321</v>
      </c>
      <c r="AH3025" t="s">
        <v>359</v>
      </c>
    </row>
    <row r="3026" spans="1:34" ht="15.75">
      <c r="A3026" s="29">
        <f t="shared" si="50"/>
        <v>400</v>
      </c>
      <c r="B3026" s="30">
        <v>550</v>
      </c>
      <c r="C3026" s="30">
        <v>1</v>
      </c>
      <c r="D3026" s="30">
        <v>1817</v>
      </c>
      <c r="E3026">
        <v>11336</v>
      </c>
      <c r="H3026" t="s">
        <v>1540</v>
      </c>
      <c r="I3026" s="30">
        <v>400</v>
      </c>
      <c r="J3026" s="30">
        <v>0</v>
      </c>
      <c r="K3026" s="30" t="s">
        <v>862</v>
      </c>
      <c r="L3026" s="43" t="s">
        <v>919</v>
      </c>
      <c r="P3026" s="41">
        <v>12</v>
      </c>
      <c r="Q3026" s="41">
        <v>9</v>
      </c>
      <c r="R3026" s="41">
        <v>30</v>
      </c>
      <c r="S3026" t="s">
        <v>3343</v>
      </c>
      <c r="AH3026" t="s">
        <v>359</v>
      </c>
    </row>
    <row r="3027" spans="1:34" ht="15.75">
      <c r="A3027" s="29">
        <f aca="true" t="shared" si="51" ref="A3027:A3090">I3027+J3027*20*X3027</f>
        <v>95</v>
      </c>
      <c r="B3027" s="30">
        <v>550</v>
      </c>
      <c r="C3027" s="30">
        <v>1</v>
      </c>
      <c r="D3027" s="30">
        <v>1817</v>
      </c>
      <c r="E3027">
        <v>11337</v>
      </c>
      <c r="H3027" t="s">
        <v>1541</v>
      </c>
      <c r="I3027" s="30">
        <v>95</v>
      </c>
      <c r="J3027" s="30">
        <v>0</v>
      </c>
      <c r="K3027" s="30" t="s">
        <v>862</v>
      </c>
      <c r="L3027" s="43" t="s">
        <v>980</v>
      </c>
      <c r="P3027" s="41">
        <v>23</v>
      </c>
      <c r="Q3027" s="41">
        <v>10</v>
      </c>
      <c r="R3027" s="41" t="s">
        <v>1547</v>
      </c>
      <c r="S3027" t="s">
        <v>3329</v>
      </c>
      <c r="AH3027" t="s">
        <v>359</v>
      </c>
    </row>
    <row r="3028" spans="1:34" ht="15.75">
      <c r="A3028" s="29">
        <f t="shared" si="51"/>
        <v>1564</v>
      </c>
      <c r="B3028" s="30">
        <v>550</v>
      </c>
      <c r="C3028" s="30">
        <v>1</v>
      </c>
      <c r="D3028" s="30">
        <v>1817</v>
      </c>
      <c r="E3028">
        <v>11339</v>
      </c>
      <c r="H3028" t="s">
        <v>1540</v>
      </c>
      <c r="I3028" s="30">
        <v>1564</v>
      </c>
      <c r="J3028" s="30">
        <v>0</v>
      </c>
      <c r="K3028" s="30" t="s">
        <v>862</v>
      </c>
      <c r="L3028" s="43" t="s">
        <v>1019</v>
      </c>
      <c r="P3028" s="41">
        <v>12</v>
      </c>
      <c r="Q3028" s="41">
        <v>9</v>
      </c>
      <c r="R3028" s="41" t="s">
        <v>1547</v>
      </c>
      <c r="S3028" t="s">
        <v>3321</v>
      </c>
      <c r="AH3028" t="s">
        <v>359</v>
      </c>
    </row>
    <row r="3029" spans="1:34" ht="15.75">
      <c r="A3029" s="29">
        <f t="shared" si="51"/>
        <v>812</v>
      </c>
      <c r="B3029" s="30">
        <v>551</v>
      </c>
      <c r="C3029" s="30">
        <v>1</v>
      </c>
      <c r="D3029" s="30">
        <v>1817</v>
      </c>
      <c r="E3029">
        <v>11357</v>
      </c>
      <c r="H3029" t="s">
        <v>1541</v>
      </c>
      <c r="I3029" s="30">
        <v>812</v>
      </c>
      <c r="J3029" s="30">
        <v>0</v>
      </c>
      <c r="K3029" s="30" t="s">
        <v>863</v>
      </c>
      <c r="L3029" s="43" t="s">
        <v>1322</v>
      </c>
      <c r="P3029" s="41">
        <v>18</v>
      </c>
      <c r="Q3029" s="41">
        <v>2</v>
      </c>
      <c r="R3029" s="41">
        <v>78</v>
      </c>
      <c r="S3029" t="s">
        <v>4947</v>
      </c>
      <c r="AH3029" t="s">
        <v>359</v>
      </c>
    </row>
    <row r="3030" spans="1:34" ht="15.75">
      <c r="A3030" s="29">
        <f t="shared" si="51"/>
        <v>68</v>
      </c>
      <c r="B3030" s="30">
        <v>551</v>
      </c>
      <c r="C3030" s="30">
        <v>1</v>
      </c>
      <c r="D3030" s="30">
        <v>1817</v>
      </c>
      <c r="E3030">
        <v>11359</v>
      </c>
      <c r="H3030" t="s">
        <v>1540</v>
      </c>
      <c r="I3030" s="30">
        <v>68</v>
      </c>
      <c r="J3030" s="30">
        <v>0</v>
      </c>
      <c r="K3030" s="30" t="s">
        <v>863</v>
      </c>
      <c r="L3030" s="43" t="s">
        <v>983</v>
      </c>
      <c r="P3030" s="41">
        <v>10</v>
      </c>
      <c r="Q3030" s="41">
        <v>2</v>
      </c>
      <c r="R3030" s="41">
        <v>61</v>
      </c>
      <c r="S3030" t="s">
        <v>3321</v>
      </c>
      <c r="AH3030" t="s">
        <v>359</v>
      </c>
    </row>
    <row r="3031" spans="1:34" ht="15.75">
      <c r="A3031" s="29">
        <f t="shared" si="51"/>
        <v>20</v>
      </c>
      <c r="B3031" s="30">
        <v>551</v>
      </c>
      <c r="C3031" s="30">
        <v>1</v>
      </c>
      <c r="D3031" s="30">
        <v>1817</v>
      </c>
      <c r="E3031">
        <v>11360</v>
      </c>
      <c r="H3031" t="s">
        <v>1540</v>
      </c>
      <c r="I3031" s="30">
        <v>20</v>
      </c>
      <c r="J3031" s="30">
        <v>0</v>
      </c>
      <c r="K3031" s="30" t="s">
        <v>863</v>
      </c>
      <c r="L3031" s="43" t="s">
        <v>983</v>
      </c>
      <c r="P3031" s="41">
        <v>25</v>
      </c>
      <c r="Q3031" s="41">
        <v>3</v>
      </c>
      <c r="R3031" s="41">
        <v>61</v>
      </c>
      <c r="S3031" t="s">
        <v>4947</v>
      </c>
      <c r="AH3031" t="s">
        <v>359</v>
      </c>
    </row>
    <row r="3032" spans="1:34" ht="15.75">
      <c r="A3032" s="29">
        <f t="shared" si="51"/>
        <v>3510</v>
      </c>
      <c r="B3032" s="30">
        <v>551</v>
      </c>
      <c r="C3032" s="30">
        <v>1</v>
      </c>
      <c r="D3032" s="30">
        <v>1817</v>
      </c>
      <c r="E3032">
        <v>11361</v>
      </c>
      <c r="H3032" t="s">
        <v>1541</v>
      </c>
      <c r="I3032" s="30">
        <v>3510</v>
      </c>
      <c r="J3032" s="30">
        <v>0</v>
      </c>
      <c r="K3032" s="30" t="s">
        <v>863</v>
      </c>
      <c r="L3032" s="43" t="s">
        <v>921</v>
      </c>
      <c r="P3032" s="41">
        <v>15</v>
      </c>
      <c r="Q3032" s="41">
        <v>11</v>
      </c>
      <c r="R3032" s="41" t="s">
        <v>1547</v>
      </c>
      <c r="S3032" t="s">
        <v>3343</v>
      </c>
      <c r="AH3032" t="s">
        <v>359</v>
      </c>
    </row>
    <row r="3033" spans="1:34" ht="15.75">
      <c r="A3033" s="29">
        <f t="shared" si="51"/>
        <v>1097</v>
      </c>
      <c r="B3033" s="30">
        <v>551</v>
      </c>
      <c r="C3033" s="30">
        <v>1</v>
      </c>
      <c r="D3033" s="30">
        <v>1817</v>
      </c>
      <c r="E3033">
        <v>11362</v>
      </c>
      <c r="H3033" t="s">
        <v>1540</v>
      </c>
      <c r="I3033" s="30">
        <v>1097</v>
      </c>
      <c r="J3033" s="30">
        <v>0</v>
      </c>
      <c r="K3033" s="30" t="s">
        <v>863</v>
      </c>
      <c r="L3033" s="43" t="s">
        <v>5854</v>
      </c>
      <c r="P3033" s="41">
        <v>18</v>
      </c>
      <c r="Q3033" s="41">
        <v>10</v>
      </c>
      <c r="R3033" s="41">
        <v>74</v>
      </c>
      <c r="S3033" t="s">
        <v>3321</v>
      </c>
      <c r="AH3033" t="s">
        <v>359</v>
      </c>
    </row>
    <row r="3034" spans="1:34" ht="15.75">
      <c r="A3034" s="29">
        <f t="shared" si="51"/>
        <v>2306</v>
      </c>
      <c r="B3034" s="30">
        <v>551</v>
      </c>
      <c r="C3034" s="30">
        <v>1</v>
      </c>
      <c r="D3034" s="30">
        <v>1817</v>
      </c>
      <c r="E3034">
        <v>11363</v>
      </c>
      <c r="H3034" t="s">
        <v>1540</v>
      </c>
      <c r="I3034" s="30">
        <v>2306</v>
      </c>
      <c r="J3034" s="30">
        <v>0</v>
      </c>
      <c r="K3034" s="30" t="s">
        <v>863</v>
      </c>
      <c r="L3034" s="43" t="s">
        <v>1318</v>
      </c>
      <c r="P3034" s="41">
        <v>18</v>
      </c>
      <c r="Q3034" s="41">
        <v>1</v>
      </c>
      <c r="R3034" s="41">
        <v>76</v>
      </c>
      <c r="S3034" t="s">
        <v>2291</v>
      </c>
      <c r="AH3034" t="s">
        <v>359</v>
      </c>
    </row>
    <row r="3035" spans="1:34" ht="15.75">
      <c r="A3035" s="29">
        <f t="shared" si="51"/>
        <v>9174</v>
      </c>
      <c r="B3035" s="30">
        <v>551</v>
      </c>
      <c r="C3035" s="30">
        <v>1</v>
      </c>
      <c r="D3035" s="30">
        <v>1817</v>
      </c>
      <c r="E3035">
        <v>11365</v>
      </c>
      <c r="H3035" t="s">
        <v>1540</v>
      </c>
      <c r="I3035" s="30">
        <f>225+4949+4000</f>
        <v>9174</v>
      </c>
      <c r="J3035" s="30">
        <v>0</v>
      </c>
      <c r="K3035" s="30" t="s">
        <v>863</v>
      </c>
      <c r="L3035" s="43" t="s">
        <v>922</v>
      </c>
      <c r="P3035" s="41">
        <v>24</v>
      </c>
      <c r="Q3035" s="41">
        <v>3</v>
      </c>
      <c r="R3035" s="41">
        <v>62</v>
      </c>
      <c r="S3035" t="s">
        <v>3321</v>
      </c>
      <c r="Y3035" t="s">
        <v>1025</v>
      </c>
      <c r="AH3035" t="s">
        <v>359</v>
      </c>
    </row>
    <row r="3036" spans="1:34" ht="15.75">
      <c r="A3036" s="29">
        <f t="shared" si="51"/>
        <v>14381</v>
      </c>
      <c r="B3036" s="31">
        <v>551</v>
      </c>
      <c r="C3036" s="31">
        <v>1</v>
      </c>
      <c r="D3036" s="31">
        <v>1817</v>
      </c>
      <c r="E3036">
        <v>11366</v>
      </c>
      <c r="F3036" s="9"/>
      <c r="G3036" s="9"/>
      <c r="H3036" s="9" t="s">
        <v>1541</v>
      </c>
      <c r="I3036" s="31">
        <v>14381</v>
      </c>
      <c r="J3036" s="31">
        <v>0</v>
      </c>
      <c r="K3036" s="30" t="s">
        <v>863</v>
      </c>
      <c r="L3036" s="43" t="s">
        <v>2823</v>
      </c>
      <c r="M3036" s="43"/>
      <c r="N3036" s="43"/>
      <c r="O3036" s="43"/>
      <c r="P3036" s="43">
        <v>24</v>
      </c>
      <c r="Q3036" s="43">
        <v>10</v>
      </c>
      <c r="R3036" s="43" t="s">
        <v>1547</v>
      </c>
      <c r="S3036" s="9" t="s">
        <v>3329</v>
      </c>
      <c r="T3036" s="9"/>
      <c r="U3036" s="9"/>
      <c r="V3036" s="9"/>
      <c r="W3036" s="9"/>
      <c r="AH3036" t="s">
        <v>359</v>
      </c>
    </row>
    <row r="3037" spans="1:34" ht="15.75">
      <c r="A3037" s="29">
        <f t="shared" si="51"/>
        <v>25212</v>
      </c>
      <c r="B3037" s="31">
        <v>551</v>
      </c>
      <c r="C3037" s="31">
        <v>1</v>
      </c>
      <c r="D3037" s="31">
        <v>1817</v>
      </c>
      <c r="E3037">
        <v>11367</v>
      </c>
      <c r="F3037" s="9"/>
      <c r="G3037" s="9"/>
      <c r="H3037" s="9" t="s">
        <v>1540</v>
      </c>
      <c r="I3037" s="31">
        <f>10888+12726+1598</f>
        <v>25212</v>
      </c>
      <c r="J3037" s="31">
        <v>0</v>
      </c>
      <c r="K3037" s="30" t="s">
        <v>863</v>
      </c>
      <c r="L3037" s="43" t="s">
        <v>3913</v>
      </c>
      <c r="M3037" s="43" t="s">
        <v>1026</v>
      </c>
      <c r="N3037" s="43" t="s">
        <v>1027</v>
      </c>
      <c r="O3037" s="43" t="s">
        <v>1028</v>
      </c>
      <c r="P3037" s="43">
        <v>2</v>
      </c>
      <c r="Q3037" s="43">
        <v>4</v>
      </c>
      <c r="R3037" s="43">
        <v>82</v>
      </c>
      <c r="S3037" s="9" t="s">
        <v>1029</v>
      </c>
      <c r="T3037" s="9" t="s">
        <v>1030</v>
      </c>
      <c r="U3037" s="9"/>
      <c r="V3037" s="9" t="s">
        <v>3201</v>
      </c>
      <c r="W3037" s="9"/>
      <c r="AA3037" t="s">
        <v>1031</v>
      </c>
      <c r="AH3037" t="s">
        <v>359</v>
      </c>
    </row>
    <row r="3038" spans="1:34" ht="15.75">
      <c r="A3038" s="29">
        <f t="shared" si="51"/>
        <v>15904</v>
      </c>
      <c r="B3038" s="31">
        <v>551</v>
      </c>
      <c r="C3038" s="31">
        <v>1</v>
      </c>
      <c r="D3038" s="31">
        <v>1817</v>
      </c>
      <c r="E3038">
        <v>11368</v>
      </c>
      <c r="F3038" s="9"/>
      <c r="G3038" s="9"/>
      <c r="H3038" s="9" t="s">
        <v>1540</v>
      </c>
      <c r="I3038" s="31">
        <v>584</v>
      </c>
      <c r="J3038" s="31">
        <v>766</v>
      </c>
      <c r="K3038" s="30" t="s">
        <v>863</v>
      </c>
      <c r="L3038" s="43" t="s">
        <v>1032</v>
      </c>
      <c r="M3038" s="43" t="s">
        <v>1205</v>
      </c>
      <c r="N3038" s="43"/>
      <c r="O3038" s="43" t="s">
        <v>1033</v>
      </c>
      <c r="P3038" s="43">
        <v>2</v>
      </c>
      <c r="Q3038" s="43">
        <v>6</v>
      </c>
      <c r="R3038" s="43" t="s">
        <v>1547</v>
      </c>
      <c r="S3038" s="9" t="s">
        <v>1547</v>
      </c>
      <c r="T3038" s="9" t="s">
        <v>3366</v>
      </c>
      <c r="U3038" s="9"/>
      <c r="V3038" s="9" t="s">
        <v>1034</v>
      </c>
      <c r="W3038" s="9"/>
      <c r="X3038">
        <v>1</v>
      </c>
      <c r="Y3038" t="s">
        <v>1035</v>
      </c>
      <c r="AH3038" t="s">
        <v>359</v>
      </c>
    </row>
    <row r="3039" spans="1:34" ht="15.75">
      <c r="A3039" s="29">
        <f t="shared" si="51"/>
        <v>42</v>
      </c>
      <c r="B3039" s="31">
        <v>551</v>
      </c>
      <c r="C3039" s="31">
        <v>1</v>
      </c>
      <c r="D3039" s="31">
        <v>1817</v>
      </c>
      <c r="E3039">
        <v>11369</v>
      </c>
      <c r="F3039" s="9"/>
      <c r="G3039" s="9"/>
      <c r="H3039" s="9" t="s">
        <v>1540</v>
      </c>
      <c r="I3039" s="31">
        <v>42</v>
      </c>
      <c r="J3039" s="31">
        <v>0</v>
      </c>
      <c r="K3039" s="30" t="s">
        <v>863</v>
      </c>
      <c r="L3039" s="43" t="s">
        <v>1307</v>
      </c>
      <c r="M3039" s="43"/>
      <c r="N3039" s="43"/>
      <c r="O3039" s="43"/>
      <c r="P3039" s="43">
        <v>18</v>
      </c>
      <c r="Q3039" s="43">
        <v>11</v>
      </c>
      <c r="R3039" s="43" t="s">
        <v>1547</v>
      </c>
      <c r="S3039" t="s">
        <v>3321</v>
      </c>
      <c r="T3039" s="9"/>
      <c r="U3039" s="9"/>
      <c r="V3039" s="9"/>
      <c r="W3039" s="9"/>
      <c r="AH3039" t="s">
        <v>359</v>
      </c>
    </row>
    <row r="3040" spans="1:34" ht="15.75">
      <c r="A3040" s="29">
        <f t="shared" si="51"/>
        <v>21</v>
      </c>
      <c r="B3040" s="31">
        <v>551</v>
      </c>
      <c r="C3040" s="31">
        <v>1</v>
      </c>
      <c r="D3040" s="31">
        <v>1817</v>
      </c>
      <c r="E3040">
        <v>11370</v>
      </c>
      <c r="F3040" s="9"/>
      <c r="G3040" s="9"/>
      <c r="H3040" s="9" t="s">
        <v>1540</v>
      </c>
      <c r="I3040" s="31">
        <v>21</v>
      </c>
      <c r="J3040" s="31">
        <v>0</v>
      </c>
      <c r="K3040" s="30" t="s">
        <v>863</v>
      </c>
      <c r="L3040" s="43" t="s">
        <v>1307</v>
      </c>
      <c r="M3040" s="43"/>
      <c r="N3040" s="43"/>
      <c r="O3040" s="43"/>
      <c r="P3040" s="43">
        <v>24</v>
      </c>
      <c r="Q3040" s="43">
        <v>11</v>
      </c>
      <c r="R3040" s="43" t="s">
        <v>1547</v>
      </c>
      <c r="S3040" s="9" t="s">
        <v>1547</v>
      </c>
      <c r="T3040" s="9"/>
      <c r="U3040" s="9"/>
      <c r="V3040" s="9"/>
      <c r="W3040" s="9"/>
      <c r="AH3040" t="s">
        <v>359</v>
      </c>
    </row>
    <row r="3041" spans="1:34" ht="15.75">
      <c r="A3041" s="29">
        <f t="shared" si="51"/>
        <v>3951</v>
      </c>
      <c r="B3041" s="31">
        <v>551</v>
      </c>
      <c r="C3041" s="31">
        <v>1</v>
      </c>
      <c r="D3041" s="31">
        <v>1817</v>
      </c>
      <c r="E3041">
        <v>11371</v>
      </c>
      <c r="F3041" s="9"/>
      <c r="G3041" s="9"/>
      <c r="H3041" s="9" t="s">
        <v>1540</v>
      </c>
      <c r="I3041" s="31">
        <v>3951</v>
      </c>
      <c r="J3041" s="31">
        <v>0</v>
      </c>
      <c r="K3041" s="30" t="s">
        <v>863</v>
      </c>
      <c r="L3041" s="43" t="s">
        <v>1366</v>
      </c>
      <c r="M3041" s="43"/>
      <c r="N3041" s="43"/>
      <c r="O3041" s="43"/>
      <c r="P3041" s="43">
        <v>27</v>
      </c>
      <c r="Q3041" s="43">
        <v>2</v>
      </c>
      <c r="R3041" s="43">
        <v>49</v>
      </c>
      <c r="S3041" t="s">
        <v>3321</v>
      </c>
      <c r="T3041" s="9"/>
      <c r="U3041" s="9"/>
      <c r="V3041" s="9"/>
      <c r="W3041" s="9"/>
      <c r="AH3041" t="s">
        <v>359</v>
      </c>
    </row>
    <row r="3042" spans="1:34" ht="15.75">
      <c r="A3042" s="29">
        <f t="shared" si="51"/>
        <v>32</v>
      </c>
      <c r="B3042" s="31">
        <v>551</v>
      </c>
      <c r="C3042" s="31">
        <v>1</v>
      </c>
      <c r="D3042" s="31">
        <v>1817</v>
      </c>
      <c r="E3042">
        <v>11372</v>
      </c>
      <c r="F3042" s="9"/>
      <c r="G3042" s="9"/>
      <c r="H3042" s="9" t="s">
        <v>1540</v>
      </c>
      <c r="I3042" s="31">
        <v>32</v>
      </c>
      <c r="J3042" s="31">
        <v>0</v>
      </c>
      <c r="K3042" s="30" t="s">
        <v>863</v>
      </c>
      <c r="L3042" s="43" t="s">
        <v>984</v>
      </c>
      <c r="M3042" s="43"/>
      <c r="N3042" s="43"/>
      <c r="O3042" s="43"/>
      <c r="P3042" s="43">
        <v>14</v>
      </c>
      <c r="Q3042" s="43">
        <v>4</v>
      </c>
      <c r="R3042" s="43">
        <v>54</v>
      </c>
      <c r="S3042" t="s">
        <v>3321</v>
      </c>
      <c r="T3042" s="9"/>
      <c r="U3042" s="9"/>
      <c r="V3042" s="9"/>
      <c r="W3042" s="9"/>
      <c r="AH3042" t="s">
        <v>359</v>
      </c>
    </row>
    <row r="3043" spans="1:34" ht="15.75">
      <c r="A3043" s="29">
        <f t="shared" si="51"/>
        <v>1097</v>
      </c>
      <c r="B3043" s="31">
        <v>551</v>
      </c>
      <c r="C3043" s="31">
        <v>1</v>
      </c>
      <c r="D3043" s="31">
        <v>1817</v>
      </c>
      <c r="E3043">
        <v>11373</v>
      </c>
      <c r="F3043" s="9"/>
      <c r="G3043" s="9"/>
      <c r="H3043" s="9" t="s">
        <v>1540</v>
      </c>
      <c r="I3043" s="31">
        <v>1097</v>
      </c>
      <c r="J3043" s="31">
        <v>0</v>
      </c>
      <c r="K3043" s="30" t="s">
        <v>863</v>
      </c>
      <c r="L3043" s="43" t="s">
        <v>986</v>
      </c>
      <c r="M3043" s="43"/>
      <c r="N3043" s="43"/>
      <c r="O3043" s="43"/>
      <c r="P3043" s="43">
        <v>26</v>
      </c>
      <c r="Q3043" s="43">
        <v>1</v>
      </c>
      <c r="R3043" s="43">
        <v>55</v>
      </c>
      <c r="S3043" t="s">
        <v>3321</v>
      </c>
      <c r="T3043" s="9"/>
      <c r="U3043" s="9"/>
      <c r="V3043" s="9"/>
      <c r="W3043" s="9"/>
      <c r="AH3043" t="s">
        <v>359</v>
      </c>
    </row>
    <row r="3044" spans="1:34" ht="15.75">
      <c r="A3044" s="29">
        <f t="shared" si="51"/>
        <v>112</v>
      </c>
      <c r="B3044" s="31">
        <v>551</v>
      </c>
      <c r="C3044" s="31">
        <v>1</v>
      </c>
      <c r="D3044" s="31">
        <v>1817</v>
      </c>
      <c r="E3044">
        <v>11375</v>
      </c>
      <c r="F3044" s="9"/>
      <c r="G3044" s="9"/>
      <c r="H3044" s="9" t="s">
        <v>1540</v>
      </c>
      <c r="I3044" s="31">
        <v>112</v>
      </c>
      <c r="J3044" s="31">
        <v>0</v>
      </c>
      <c r="K3044" s="30" t="s">
        <v>863</v>
      </c>
      <c r="L3044" s="43" t="s">
        <v>989</v>
      </c>
      <c r="M3044" s="43"/>
      <c r="N3044" s="43"/>
      <c r="O3044" s="43"/>
      <c r="P3044" s="43">
        <v>20</v>
      </c>
      <c r="Q3044" s="43">
        <v>5</v>
      </c>
      <c r="R3044" s="43">
        <v>77</v>
      </c>
      <c r="S3044" s="9" t="s">
        <v>4947</v>
      </c>
      <c r="T3044" s="9"/>
      <c r="U3044" s="9"/>
      <c r="V3044" s="9"/>
      <c r="W3044" s="9"/>
      <c r="AH3044" t="s">
        <v>359</v>
      </c>
    </row>
    <row r="3045" spans="1:34" ht="15.75">
      <c r="A3045" s="29">
        <f t="shared" si="51"/>
        <v>1484</v>
      </c>
      <c r="B3045" s="31">
        <v>551</v>
      </c>
      <c r="C3045" s="31">
        <v>1</v>
      </c>
      <c r="D3045" s="31">
        <v>1817</v>
      </c>
      <c r="E3045">
        <v>11376</v>
      </c>
      <c r="F3045" s="9"/>
      <c r="G3045" s="9"/>
      <c r="H3045" s="9" t="s">
        <v>1540</v>
      </c>
      <c r="I3045" s="31">
        <v>1484</v>
      </c>
      <c r="J3045" s="31">
        <v>0</v>
      </c>
      <c r="K3045" s="30" t="s">
        <v>863</v>
      </c>
      <c r="L3045" s="43" t="s">
        <v>989</v>
      </c>
      <c r="M3045" s="43"/>
      <c r="N3045" s="43"/>
      <c r="O3045" s="43"/>
      <c r="P3045" s="43">
        <v>13</v>
      </c>
      <c r="Q3045" s="43">
        <v>5</v>
      </c>
      <c r="R3045" s="43" t="s">
        <v>1547</v>
      </c>
      <c r="S3045" s="9" t="s">
        <v>1547</v>
      </c>
      <c r="T3045" s="9"/>
      <c r="U3045" s="9"/>
      <c r="V3045" s="9"/>
      <c r="W3045" s="9"/>
      <c r="AH3045" t="s">
        <v>359</v>
      </c>
    </row>
    <row r="3046" spans="1:34" ht="15.75">
      <c r="A3046" s="29">
        <f t="shared" si="51"/>
        <v>61</v>
      </c>
      <c r="B3046" s="31">
        <v>551</v>
      </c>
      <c r="C3046" s="31">
        <v>1</v>
      </c>
      <c r="D3046" s="31">
        <v>1817</v>
      </c>
      <c r="E3046">
        <v>11377</v>
      </c>
      <c r="F3046" s="9"/>
      <c r="G3046" s="9"/>
      <c r="H3046" s="9" t="s">
        <v>1540</v>
      </c>
      <c r="I3046" s="31">
        <v>61</v>
      </c>
      <c r="J3046" s="31">
        <v>0</v>
      </c>
      <c r="K3046" s="30" t="s">
        <v>863</v>
      </c>
      <c r="L3046" s="43" t="s">
        <v>989</v>
      </c>
      <c r="M3046" s="43"/>
      <c r="N3046" s="43"/>
      <c r="O3046" s="43"/>
      <c r="P3046" s="43">
        <v>30</v>
      </c>
      <c r="Q3046" s="43">
        <v>12</v>
      </c>
      <c r="R3046" s="43" t="s">
        <v>1547</v>
      </c>
      <c r="S3046" t="s">
        <v>3321</v>
      </c>
      <c r="T3046" s="9"/>
      <c r="U3046" s="9"/>
      <c r="V3046" s="9"/>
      <c r="W3046" s="9"/>
      <c r="AH3046" t="s">
        <v>359</v>
      </c>
    </row>
    <row r="3047" spans="1:34" ht="15.75">
      <c r="A3047" s="29">
        <f t="shared" si="51"/>
        <v>261</v>
      </c>
      <c r="B3047" s="31">
        <v>551</v>
      </c>
      <c r="C3047" s="31">
        <v>1</v>
      </c>
      <c r="D3047" s="31">
        <v>1817</v>
      </c>
      <c r="E3047">
        <v>11378</v>
      </c>
      <c r="F3047" s="9"/>
      <c r="G3047" s="9"/>
      <c r="H3047" s="9" t="s">
        <v>1541</v>
      </c>
      <c r="I3047" s="31">
        <v>261</v>
      </c>
      <c r="J3047" s="31">
        <v>0</v>
      </c>
      <c r="K3047" s="30" t="s">
        <v>863</v>
      </c>
      <c r="L3047" s="43" t="s">
        <v>989</v>
      </c>
      <c r="M3047" s="43"/>
      <c r="N3047" s="43"/>
      <c r="O3047" s="43"/>
      <c r="P3047" s="43">
        <v>22</v>
      </c>
      <c r="Q3047" s="43">
        <v>9</v>
      </c>
      <c r="R3047" s="43">
        <v>29</v>
      </c>
      <c r="S3047" s="9" t="s">
        <v>3343</v>
      </c>
      <c r="T3047" s="9"/>
      <c r="U3047" s="9"/>
      <c r="V3047" s="9"/>
      <c r="W3047" s="9"/>
      <c r="AH3047" t="s">
        <v>359</v>
      </c>
    </row>
    <row r="3048" spans="1:34" ht="15.75">
      <c r="A3048" s="29">
        <f t="shared" si="51"/>
        <v>152</v>
      </c>
      <c r="B3048" s="31">
        <v>551</v>
      </c>
      <c r="C3048" s="31">
        <v>1</v>
      </c>
      <c r="D3048" s="31">
        <v>1817</v>
      </c>
      <c r="E3048">
        <v>11379</v>
      </c>
      <c r="F3048" s="9"/>
      <c r="G3048" s="9"/>
      <c r="H3048" s="9" t="s">
        <v>1541</v>
      </c>
      <c r="I3048" s="31">
        <v>152</v>
      </c>
      <c r="J3048" s="31">
        <v>0</v>
      </c>
      <c r="K3048" s="30" t="s">
        <v>863</v>
      </c>
      <c r="L3048" s="43" t="s">
        <v>2675</v>
      </c>
      <c r="M3048" s="43"/>
      <c r="N3048" s="43"/>
      <c r="O3048" s="43"/>
      <c r="P3048" s="43">
        <v>20</v>
      </c>
      <c r="Q3048" s="43">
        <v>10</v>
      </c>
      <c r="R3048" s="43" t="s">
        <v>1547</v>
      </c>
      <c r="S3048" s="9" t="s">
        <v>3329</v>
      </c>
      <c r="T3048" s="9"/>
      <c r="U3048" s="9"/>
      <c r="V3048" s="9"/>
      <c r="W3048" s="9"/>
      <c r="AH3048" t="s">
        <v>359</v>
      </c>
    </row>
    <row r="3049" spans="1:34" ht="15.75">
      <c r="A3049" s="29">
        <f t="shared" si="51"/>
        <v>825</v>
      </c>
      <c r="B3049" s="31">
        <v>551</v>
      </c>
      <c r="C3049" s="31">
        <v>1</v>
      </c>
      <c r="D3049" s="31">
        <v>1817</v>
      </c>
      <c r="E3049">
        <v>11380</v>
      </c>
      <c r="F3049" s="9"/>
      <c r="G3049" s="9"/>
      <c r="H3049" s="9" t="s">
        <v>1541</v>
      </c>
      <c r="I3049" s="31">
        <v>825</v>
      </c>
      <c r="J3049" s="31">
        <v>0</v>
      </c>
      <c r="K3049" s="30" t="s">
        <v>863</v>
      </c>
      <c r="L3049" s="43" t="s">
        <v>1041</v>
      </c>
      <c r="M3049" s="43"/>
      <c r="N3049" s="43"/>
      <c r="O3049" s="43"/>
      <c r="P3049" s="43">
        <v>6</v>
      </c>
      <c r="Q3049" s="43">
        <v>2</v>
      </c>
      <c r="R3049" s="43">
        <v>77</v>
      </c>
      <c r="S3049" s="9" t="s">
        <v>1547</v>
      </c>
      <c r="T3049" s="9"/>
      <c r="U3049" s="9"/>
      <c r="V3049" s="9"/>
      <c r="W3049" s="9"/>
      <c r="AH3049" t="s">
        <v>359</v>
      </c>
    </row>
    <row r="3050" spans="1:34" ht="15.75">
      <c r="A3050" s="29">
        <f t="shared" si="51"/>
        <v>386</v>
      </c>
      <c r="B3050" s="31">
        <v>551</v>
      </c>
      <c r="C3050" s="31">
        <v>1</v>
      </c>
      <c r="D3050" s="31">
        <v>1817</v>
      </c>
      <c r="E3050">
        <v>11381</v>
      </c>
      <c r="F3050" s="9"/>
      <c r="G3050" s="9"/>
      <c r="H3050" s="9" t="s">
        <v>1540</v>
      </c>
      <c r="I3050" s="31">
        <v>386</v>
      </c>
      <c r="J3050" s="31">
        <v>0</v>
      </c>
      <c r="K3050" s="30" t="s">
        <v>863</v>
      </c>
      <c r="L3050" s="43" t="s">
        <v>1041</v>
      </c>
      <c r="M3050" s="43"/>
      <c r="N3050" s="43"/>
      <c r="O3050" s="43"/>
      <c r="P3050" s="43">
        <v>6</v>
      </c>
      <c r="Q3050" s="43">
        <v>2</v>
      </c>
      <c r="R3050" s="43">
        <v>51</v>
      </c>
      <c r="S3050" s="9" t="s">
        <v>1547</v>
      </c>
      <c r="T3050" s="9"/>
      <c r="U3050" s="9"/>
      <c r="V3050" s="9"/>
      <c r="W3050" s="9"/>
      <c r="AH3050" t="s">
        <v>359</v>
      </c>
    </row>
    <row r="3051" spans="1:34" ht="15.75">
      <c r="A3051" s="29">
        <f t="shared" si="51"/>
        <v>24269</v>
      </c>
      <c r="B3051" s="31">
        <v>551</v>
      </c>
      <c r="C3051" s="31">
        <v>1</v>
      </c>
      <c r="D3051" s="31">
        <v>1817</v>
      </c>
      <c r="E3051">
        <v>11382</v>
      </c>
      <c r="F3051" s="9"/>
      <c r="G3051" s="9"/>
      <c r="H3051" s="9" t="s">
        <v>1541</v>
      </c>
      <c r="I3051" s="31">
        <f>3150+21119</f>
        <v>24269</v>
      </c>
      <c r="J3051" s="31">
        <v>0</v>
      </c>
      <c r="K3051" s="30" t="s">
        <v>863</v>
      </c>
      <c r="L3051" s="43" t="s">
        <v>1042</v>
      </c>
      <c r="M3051" s="43" t="s">
        <v>1043</v>
      </c>
      <c r="N3051" s="43"/>
      <c r="O3051" s="43" t="s">
        <v>1044</v>
      </c>
      <c r="P3051" s="43">
        <v>28</v>
      </c>
      <c r="Q3051" s="43">
        <v>3</v>
      </c>
      <c r="R3051" s="43">
        <v>63</v>
      </c>
      <c r="S3051" s="9" t="s">
        <v>1045</v>
      </c>
      <c r="T3051" s="9" t="s">
        <v>1046</v>
      </c>
      <c r="U3051" s="9"/>
      <c r="V3051" s="9" t="s">
        <v>5344</v>
      </c>
      <c r="W3051" s="9"/>
      <c r="AH3051" t="s">
        <v>359</v>
      </c>
    </row>
    <row r="3052" spans="1:34" ht="15.75">
      <c r="A3052" s="29">
        <f t="shared" si="51"/>
        <v>43</v>
      </c>
      <c r="B3052" s="30">
        <v>551</v>
      </c>
      <c r="C3052" s="30">
        <v>1</v>
      </c>
      <c r="D3052" s="30">
        <v>1817</v>
      </c>
      <c r="E3052">
        <v>11383</v>
      </c>
      <c r="H3052" t="s">
        <v>1540</v>
      </c>
      <c r="I3052" s="30">
        <v>43</v>
      </c>
      <c r="J3052" s="30">
        <v>0</v>
      </c>
      <c r="K3052" s="30" t="s">
        <v>863</v>
      </c>
      <c r="L3052" s="43" t="s">
        <v>4184</v>
      </c>
      <c r="P3052" s="43">
        <v>31</v>
      </c>
      <c r="Q3052" s="43">
        <v>12</v>
      </c>
      <c r="R3052" s="43">
        <v>68</v>
      </c>
      <c r="S3052" t="s">
        <v>3321</v>
      </c>
      <c r="AH3052" t="s">
        <v>359</v>
      </c>
    </row>
    <row r="3053" spans="1:34" ht="15.75">
      <c r="A3053" s="29">
        <f t="shared" si="51"/>
        <v>51</v>
      </c>
      <c r="B3053" s="30">
        <v>551</v>
      </c>
      <c r="C3053" s="30">
        <v>1</v>
      </c>
      <c r="D3053" s="30">
        <v>1817</v>
      </c>
      <c r="E3053">
        <v>11384</v>
      </c>
      <c r="H3053" t="s">
        <v>1541</v>
      </c>
      <c r="I3053" s="30">
        <v>51</v>
      </c>
      <c r="J3053" s="30">
        <v>0</v>
      </c>
      <c r="K3053" s="30" t="s">
        <v>863</v>
      </c>
      <c r="L3053" s="43" t="s">
        <v>991</v>
      </c>
      <c r="P3053" s="43">
        <v>2</v>
      </c>
      <c r="Q3053" s="41">
        <v>5</v>
      </c>
      <c r="R3053" s="43">
        <v>49</v>
      </c>
      <c r="S3053" t="s">
        <v>3321</v>
      </c>
      <c r="AH3053" t="s">
        <v>359</v>
      </c>
    </row>
    <row r="3054" spans="1:34" ht="15.75">
      <c r="A3054" s="29">
        <f t="shared" si="51"/>
        <v>2223</v>
      </c>
      <c r="B3054" s="30">
        <v>551</v>
      </c>
      <c r="C3054" s="30">
        <v>1</v>
      </c>
      <c r="D3054" s="30">
        <v>1817</v>
      </c>
      <c r="E3054">
        <v>11385</v>
      </c>
      <c r="H3054" t="s">
        <v>1541</v>
      </c>
      <c r="I3054" s="30">
        <f>1918+305</f>
        <v>2223</v>
      </c>
      <c r="J3054" s="30">
        <v>0</v>
      </c>
      <c r="K3054" s="30" t="s">
        <v>863</v>
      </c>
      <c r="L3054" s="43" t="s">
        <v>991</v>
      </c>
      <c r="P3054" s="43">
        <v>12</v>
      </c>
      <c r="Q3054" s="43">
        <v>6</v>
      </c>
      <c r="R3054" s="43">
        <v>87</v>
      </c>
      <c r="S3054" s="9" t="s">
        <v>1547</v>
      </c>
      <c r="AH3054" t="s">
        <v>359</v>
      </c>
    </row>
    <row r="3055" spans="1:34" ht="15.75">
      <c r="A3055" s="29">
        <f t="shared" si="51"/>
        <v>4186</v>
      </c>
      <c r="B3055" s="30">
        <v>551</v>
      </c>
      <c r="C3055" s="30">
        <v>1</v>
      </c>
      <c r="D3055" s="30">
        <v>1817</v>
      </c>
      <c r="E3055">
        <v>11386</v>
      </c>
      <c r="H3055" t="s">
        <v>1540</v>
      </c>
      <c r="I3055" s="30">
        <v>4186</v>
      </c>
      <c r="J3055" s="30">
        <v>0</v>
      </c>
      <c r="K3055" s="30" t="s">
        <v>863</v>
      </c>
      <c r="L3055" s="43" t="s">
        <v>991</v>
      </c>
      <c r="P3055" s="43">
        <v>9</v>
      </c>
      <c r="Q3055" s="43">
        <v>9</v>
      </c>
      <c r="R3055" s="41" t="s">
        <v>1547</v>
      </c>
      <c r="S3055" s="9" t="s">
        <v>1547</v>
      </c>
      <c r="AH3055" t="s">
        <v>359</v>
      </c>
    </row>
    <row r="3056" spans="1:34" ht="15.75">
      <c r="A3056" s="29">
        <f t="shared" si="51"/>
        <v>321</v>
      </c>
      <c r="B3056" s="30">
        <v>551</v>
      </c>
      <c r="C3056" s="30">
        <v>1</v>
      </c>
      <c r="D3056" s="30">
        <v>1817</v>
      </c>
      <c r="E3056">
        <v>11387</v>
      </c>
      <c r="H3056" t="s">
        <v>1541</v>
      </c>
      <c r="I3056" s="30">
        <v>321</v>
      </c>
      <c r="J3056" s="30">
        <v>0</v>
      </c>
      <c r="K3056" s="30" t="s">
        <v>863</v>
      </c>
      <c r="L3056" s="43" t="s">
        <v>991</v>
      </c>
      <c r="P3056" s="43">
        <v>27</v>
      </c>
      <c r="Q3056" s="43">
        <v>8</v>
      </c>
      <c r="R3056" s="41">
        <v>47</v>
      </c>
      <c r="S3056" s="9" t="s">
        <v>3321</v>
      </c>
      <c r="AH3056" t="s">
        <v>359</v>
      </c>
    </row>
    <row r="3057" spans="1:34" ht="15.75">
      <c r="A3057" s="29">
        <f t="shared" si="51"/>
        <v>617188</v>
      </c>
      <c r="B3057" s="30">
        <v>552</v>
      </c>
      <c r="C3057" s="30">
        <v>1</v>
      </c>
      <c r="D3057" s="30">
        <v>1817</v>
      </c>
      <c r="E3057">
        <v>11422</v>
      </c>
      <c r="H3057" t="s">
        <v>1540</v>
      </c>
      <c r="I3057" s="30">
        <v>584688</v>
      </c>
      <c r="J3057" s="30">
        <v>3250</v>
      </c>
      <c r="K3057" s="30" t="s">
        <v>863</v>
      </c>
      <c r="L3057" s="43" t="s">
        <v>5855</v>
      </c>
      <c r="M3057" s="41" t="s">
        <v>4937</v>
      </c>
      <c r="N3057" s="41" t="s">
        <v>726</v>
      </c>
      <c r="O3057" s="41" t="s">
        <v>1047</v>
      </c>
      <c r="P3057" s="41">
        <v>11</v>
      </c>
      <c r="Q3057" s="41">
        <v>9</v>
      </c>
      <c r="R3057" s="41">
        <v>66</v>
      </c>
      <c r="S3057" t="s">
        <v>1048</v>
      </c>
      <c r="T3057" t="s">
        <v>1049</v>
      </c>
      <c r="V3057" t="s">
        <v>1552</v>
      </c>
      <c r="X3057">
        <v>0.5</v>
      </c>
      <c r="Y3057" t="s">
        <v>1047</v>
      </c>
      <c r="AH3057" t="s">
        <v>359</v>
      </c>
    </row>
    <row r="3058" spans="1:34" ht="15.75">
      <c r="A3058" s="29">
        <f t="shared" si="51"/>
        <v>595</v>
      </c>
      <c r="B3058" s="30">
        <v>552</v>
      </c>
      <c r="C3058" t="s">
        <v>1540</v>
      </c>
      <c r="D3058" s="30"/>
      <c r="E3058">
        <v>11423</v>
      </c>
      <c r="H3058" t="s">
        <v>850</v>
      </c>
      <c r="I3058" s="30">
        <v>595</v>
      </c>
      <c r="J3058" s="30">
        <v>0</v>
      </c>
      <c r="K3058" s="30" t="s">
        <v>863</v>
      </c>
      <c r="L3058" s="43" t="s">
        <v>2349</v>
      </c>
      <c r="P3058" s="41">
        <v>23</v>
      </c>
      <c r="Q3058" s="41">
        <v>7</v>
      </c>
      <c r="R3058" s="41">
        <v>77</v>
      </c>
      <c r="S3058" t="s">
        <v>3329</v>
      </c>
      <c r="AH3058" t="s">
        <v>359</v>
      </c>
    </row>
    <row r="3059" spans="1:34" ht="15.75">
      <c r="A3059" s="29">
        <f t="shared" si="51"/>
        <v>49</v>
      </c>
      <c r="B3059" s="30">
        <v>552</v>
      </c>
      <c r="C3059" s="30">
        <v>1</v>
      </c>
      <c r="D3059" s="30">
        <v>1817</v>
      </c>
      <c r="E3059">
        <v>11424</v>
      </c>
      <c r="H3059" t="s">
        <v>1540</v>
      </c>
      <c r="I3059" s="30">
        <v>49</v>
      </c>
      <c r="J3059" s="30">
        <v>0</v>
      </c>
      <c r="K3059" s="30" t="s">
        <v>863</v>
      </c>
      <c r="L3059" s="43" t="s">
        <v>1319</v>
      </c>
      <c r="P3059" s="41">
        <v>22</v>
      </c>
      <c r="Q3059" s="41">
        <v>4</v>
      </c>
      <c r="R3059" s="41" t="s">
        <v>1547</v>
      </c>
      <c r="S3059" t="s">
        <v>3321</v>
      </c>
      <c r="AH3059" t="s">
        <v>359</v>
      </c>
    </row>
    <row r="3060" spans="1:34" ht="15.75">
      <c r="A3060" s="29">
        <f t="shared" si="51"/>
        <v>28791</v>
      </c>
      <c r="B3060" s="31">
        <v>552</v>
      </c>
      <c r="C3060" s="31">
        <v>1</v>
      </c>
      <c r="D3060" s="31">
        <v>1817</v>
      </c>
      <c r="E3060">
        <v>11425</v>
      </c>
      <c r="F3060" s="9"/>
      <c r="G3060" s="9"/>
      <c r="H3060" s="9" t="s">
        <v>1540</v>
      </c>
      <c r="I3060" s="31">
        <v>4791</v>
      </c>
      <c r="J3060" s="31">
        <v>1200</v>
      </c>
      <c r="K3060" s="30" t="s">
        <v>863</v>
      </c>
      <c r="L3060" s="43" t="s">
        <v>5830</v>
      </c>
      <c r="M3060" s="43" t="s">
        <v>1050</v>
      </c>
      <c r="N3060" s="43" t="s">
        <v>1051</v>
      </c>
      <c r="O3060" s="43" t="s">
        <v>1052</v>
      </c>
      <c r="P3060" s="43">
        <v>26</v>
      </c>
      <c r="Q3060" s="43">
        <v>6</v>
      </c>
      <c r="R3060" s="43">
        <v>50</v>
      </c>
      <c r="S3060" s="9" t="s">
        <v>1547</v>
      </c>
      <c r="T3060" s="9" t="s">
        <v>1053</v>
      </c>
      <c r="U3060" s="9"/>
      <c r="V3060" s="9" t="s">
        <v>3845</v>
      </c>
      <c r="W3060" s="9"/>
      <c r="X3060">
        <v>1</v>
      </c>
      <c r="Y3060" t="s">
        <v>1054</v>
      </c>
      <c r="AH3060" t="s">
        <v>359</v>
      </c>
    </row>
    <row r="3061" spans="1:34" ht="15.75">
      <c r="A3061" s="29">
        <f t="shared" si="51"/>
        <v>702</v>
      </c>
      <c r="B3061" s="30">
        <v>552</v>
      </c>
      <c r="C3061" s="30">
        <v>1</v>
      </c>
      <c r="D3061" s="30">
        <v>1817</v>
      </c>
      <c r="E3061">
        <v>11426</v>
      </c>
      <c r="H3061" t="s">
        <v>1540</v>
      </c>
      <c r="I3061" s="30">
        <v>702</v>
      </c>
      <c r="J3061" s="30">
        <v>0</v>
      </c>
      <c r="K3061" s="30" t="s">
        <v>863</v>
      </c>
      <c r="L3061" s="43" t="s">
        <v>1304</v>
      </c>
      <c r="P3061" s="43">
        <v>4</v>
      </c>
      <c r="Q3061" s="43">
        <v>9</v>
      </c>
      <c r="R3061" s="43">
        <v>65</v>
      </c>
      <c r="S3061" t="s">
        <v>3321</v>
      </c>
      <c r="AH3061" t="s">
        <v>359</v>
      </c>
    </row>
    <row r="3062" spans="1:34" ht="15.75">
      <c r="A3062" s="29">
        <f t="shared" si="51"/>
        <v>133</v>
      </c>
      <c r="B3062" s="30">
        <v>552</v>
      </c>
      <c r="C3062" s="30">
        <v>1</v>
      </c>
      <c r="D3062" s="30">
        <v>1817</v>
      </c>
      <c r="E3062">
        <v>11427</v>
      </c>
      <c r="H3062" t="s">
        <v>1540</v>
      </c>
      <c r="I3062" s="30">
        <v>133</v>
      </c>
      <c r="J3062" s="30">
        <v>0</v>
      </c>
      <c r="K3062" s="30" t="s">
        <v>863</v>
      </c>
      <c r="L3062" s="43" t="s">
        <v>993</v>
      </c>
      <c r="P3062" s="43">
        <v>17</v>
      </c>
      <c r="Q3062" s="43">
        <v>3</v>
      </c>
      <c r="R3062" s="43">
        <v>54</v>
      </c>
      <c r="S3062" s="9" t="s">
        <v>4947</v>
      </c>
      <c r="AH3062" t="s">
        <v>359</v>
      </c>
    </row>
    <row r="3063" spans="1:34" ht="15.75">
      <c r="A3063" s="29">
        <f t="shared" si="51"/>
        <v>622</v>
      </c>
      <c r="B3063" s="30">
        <v>552</v>
      </c>
      <c r="C3063" s="30">
        <v>1</v>
      </c>
      <c r="D3063" s="30">
        <v>1817</v>
      </c>
      <c r="E3063">
        <v>11428</v>
      </c>
      <c r="H3063" t="s">
        <v>1541</v>
      </c>
      <c r="I3063" s="30">
        <f>258+364</f>
        <v>622</v>
      </c>
      <c r="J3063" s="30">
        <v>0</v>
      </c>
      <c r="K3063" s="30" t="s">
        <v>863</v>
      </c>
      <c r="L3063" s="43" t="s">
        <v>1055</v>
      </c>
      <c r="P3063" s="43">
        <v>16</v>
      </c>
      <c r="Q3063" s="43">
        <v>4</v>
      </c>
      <c r="R3063" s="43">
        <v>73</v>
      </c>
      <c r="S3063" t="s">
        <v>3321</v>
      </c>
      <c r="AH3063" t="s">
        <v>359</v>
      </c>
    </row>
    <row r="3064" spans="1:34" ht="15.75">
      <c r="A3064" s="29">
        <f t="shared" si="51"/>
        <v>76158</v>
      </c>
      <c r="B3064" s="30">
        <v>552</v>
      </c>
      <c r="C3064" s="30">
        <v>1</v>
      </c>
      <c r="D3064" s="30">
        <v>1817</v>
      </c>
      <c r="E3064">
        <v>11429</v>
      </c>
      <c r="H3064" t="s">
        <v>1540</v>
      </c>
      <c r="I3064" s="30">
        <v>76158</v>
      </c>
      <c r="J3064" s="30">
        <v>0</v>
      </c>
      <c r="K3064" s="30" t="s">
        <v>863</v>
      </c>
      <c r="L3064" s="43" t="s">
        <v>1056</v>
      </c>
      <c r="M3064" s="41" t="s">
        <v>1181</v>
      </c>
      <c r="N3064" s="41" t="s">
        <v>726</v>
      </c>
      <c r="O3064" s="41" t="s">
        <v>5645</v>
      </c>
      <c r="P3064" s="41">
        <v>16</v>
      </c>
      <c r="Q3064" s="41">
        <v>7</v>
      </c>
      <c r="R3064" s="41">
        <v>65</v>
      </c>
      <c r="S3064" t="s">
        <v>1057</v>
      </c>
      <c r="T3064" t="s">
        <v>1058</v>
      </c>
      <c r="V3064" t="s">
        <v>1784</v>
      </c>
      <c r="AA3064" t="s">
        <v>1059</v>
      </c>
      <c r="AH3064" t="s">
        <v>359</v>
      </c>
    </row>
    <row r="3065" spans="1:34" ht="15.75">
      <c r="A3065" s="29">
        <f t="shared" si="51"/>
        <v>339</v>
      </c>
      <c r="B3065" s="30">
        <v>552</v>
      </c>
      <c r="C3065" s="30">
        <v>1</v>
      </c>
      <c r="D3065" s="30">
        <v>1817</v>
      </c>
      <c r="E3065">
        <v>11430</v>
      </c>
      <c r="H3065" t="s">
        <v>1541</v>
      </c>
      <c r="I3065" s="30">
        <f>139+200</f>
        <v>339</v>
      </c>
      <c r="J3065" s="30">
        <v>0</v>
      </c>
      <c r="K3065" s="30" t="s">
        <v>863</v>
      </c>
      <c r="L3065" s="43" t="s">
        <v>994</v>
      </c>
      <c r="P3065" s="41">
        <v>1</v>
      </c>
      <c r="Q3065" s="41">
        <v>9</v>
      </c>
      <c r="R3065" s="41" t="s">
        <v>1547</v>
      </c>
      <c r="S3065" t="s">
        <v>1547</v>
      </c>
      <c r="AH3065" t="s">
        <v>359</v>
      </c>
    </row>
    <row r="3066" spans="1:34" ht="15.75">
      <c r="A3066" s="29">
        <f t="shared" si="51"/>
        <v>2576</v>
      </c>
      <c r="B3066" s="30">
        <v>552</v>
      </c>
      <c r="C3066" s="30">
        <v>1</v>
      </c>
      <c r="D3066" s="30">
        <v>1817</v>
      </c>
      <c r="E3066">
        <v>11431</v>
      </c>
      <c r="H3066" t="s">
        <v>1540</v>
      </c>
      <c r="I3066" s="30">
        <f>1051+1525</f>
        <v>2576</v>
      </c>
      <c r="J3066" s="30">
        <v>0</v>
      </c>
      <c r="K3066" s="30" t="s">
        <v>863</v>
      </c>
      <c r="L3066" s="43" t="s">
        <v>995</v>
      </c>
      <c r="P3066" s="41">
        <v>9</v>
      </c>
      <c r="Q3066" s="41">
        <v>6</v>
      </c>
      <c r="R3066" s="41" t="s">
        <v>1547</v>
      </c>
      <c r="S3066" t="s">
        <v>3321</v>
      </c>
      <c r="AH3066" t="s">
        <v>359</v>
      </c>
    </row>
    <row r="3067" spans="1:34" ht="15.75">
      <c r="A3067" s="29">
        <f t="shared" si="51"/>
        <v>1732</v>
      </c>
      <c r="B3067" s="30">
        <v>552</v>
      </c>
      <c r="C3067" s="30">
        <v>1</v>
      </c>
      <c r="D3067" s="30">
        <v>1817</v>
      </c>
      <c r="E3067">
        <v>11432</v>
      </c>
      <c r="H3067" t="s">
        <v>1540</v>
      </c>
      <c r="I3067" s="30">
        <v>1732</v>
      </c>
      <c r="J3067" s="30">
        <v>0</v>
      </c>
      <c r="K3067" s="30" t="s">
        <v>863</v>
      </c>
      <c r="L3067" s="43" t="s">
        <v>995</v>
      </c>
      <c r="P3067" s="41">
        <v>10</v>
      </c>
      <c r="Q3067" s="41">
        <v>4</v>
      </c>
      <c r="R3067" s="41" t="s">
        <v>1547</v>
      </c>
      <c r="S3067" t="s">
        <v>3321</v>
      </c>
      <c r="AE3067" s="28"/>
      <c r="AH3067" t="s">
        <v>359</v>
      </c>
    </row>
    <row r="3068" spans="1:34" ht="15.75">
      <c r="A3068" s="29">
        <f t="shared" si="51"/>
        <v>62</v>
      </c>
      <c r="B3068" s="30">
        <v>552</v>
      </c>
      <c r="C3068" s="30">
        <v>1</v>
      </c>
      <c r="D3068" s="30">
        <v>1817</v>
      </c>
      <c r="E3068">
        <v>11433</v>
      </c>
      <c r="H3068" t="s">
        <v>1541</v>
      </c>
      <c r="I3068" s="30">
        <v>62</v>
      </c>
      <c r="J3068" s="30">
        <v>0</v>
      </c>
      <c r="K3068" s="30" t="s">
        <v>863</v>
      </c>
      <c r="L3068" s="43" t="s">
        <v>996</v>
      </c>
      <c r="P3068" s="41">
        <v>10</v>
      </c>
      <c r="Q3068" s="41">
        <v>4</v>
      </c>
      <c r="R3068" s="41">
        <v>36</v>
      </c>
      <c r="S3068" t="s">
        <v>3321</v>
      </c>
      <c r="AH3068" t="s">
        <v>359</v>
      </c>
    </row>
    <row r="3069" spans="1:34" ht="15.75">
      <c r="A3069" s="29">
        <f t="shared" si="51"/>
        <v>101</v>
      </c>
      <c r="B3069" s="30">
        <v>552</v>
      </c>
      <c r="C3069" s="30">
        <v>1</v>
      </c>
      <c r="D3069" s="30">
        <v>1817</v>
      </c>
      <c r="E3069">
        <v>11434</v>
      </c>
      <c r="H3069" t="s">
        <v>1541</v>
      </c>
      <c r="I3069" s="30">
        <v>101</v>
      </c>
      <c r="J3069" s="30">
        <v>0</v>
      </c>
      <c r="K3069" s="30" t="s">
        <v>863</v>
      </c>
      <c r="L3069" s="43" t="s">
        <v>996</v>
      </c>
      <c r="P3069" s="41">
        <v>30</v>
      </c>
      <c r="Q3069" s="41">
        <v>4</v>
      </c>
      <c r="R3069" s="41">
        <v>58</v>
      </c>
      <c r="S3069" t="s">
        <v>3321</v>
      </c>
      <c r="AH3069" t="s">
        <v>359</v>
      </c>
    </row>
    <row r="3070" spans="1:34" ht="15.75">
      <c r="A3070" s="29">
        <f t="shared" si="51"/>
        <v>20</v>
      </c>
      <c r="B3070" s="30">
        <v>552</v>
      </c>
      <c r="C3070" s="30"/>
      <c r="D3070" s="30"/>
      <c r="E3070">
        <v>11435</v>
      </c>
      <c r="H3070" t="s">
        <v>1549</v>
      </c>
      <c r="I3070" s="30">
        <v>20</v>
      </c>
      <c r="J3070" s="30">
        <v>0</v>
      </c>
      <c r="K3070" s="30" t="s">
        <v>863</v>
      </c>
      <c r="L3070" s="43" t="s">
        <v>996</v>
      </c>
      <c r="P3070" s="41">
        <v>26</v>
      </c>
      <c r="Q3070" s="41">
        <v>10</v>
      </c>
      <c r="R3070" s="41">
        <v>22</v>
      </c>
      <c r="S3070" t="s">
        <v>1547</v>
      </c>
      <c r="AH3070" t="s">
        <v>359</v>
      </c>
    </row>
    <row r="3071" spans="1:34" ht="15.75">
      <c r="A3071" s="29">
        <f t="shared" si="51"/>
        <v>2000</v>
      </c>
      <c r="B3071" s="30">
        <v>552</v>
      </c>
      <c r="C3071" s="30">
        <v>1</v>
      </c>
      <c r="D3071" s="30">
        <v>1817</v>
      </c>
      <c r="E3071">
        <v>11436</v>
      </c>
      <c r="H3071" t="s">
        <v>1541</v>
      </c>
      <c r="I3071" s="30">
        <v>2000</v>
      </c>
      <c r="J3071" s="30">
        <v>0</v>
      </c>
      <c r="K3071" s="30" t="s">
        <v>863</v>
      </c>
      <c r="L3071" s="43" t="s">
        <v>4187</v>
      </c>
      <c r="P3071" s="41">
        <v>17</v>
      </c>
      <c r="Q3071" s="41">
        <v>4</v>
      </c>
      <c r="R3071" s="41">
        <v>23</v>
      </c>
      <c r="S3071" t="s">
        <v>3321</v>
      </c>
      <c r="AH3071" t="s">
        <v>359</v>
      </c>
    </row>
    <row r="3072" spans="1:34" ht="15.75">
      <c r="A3072" s="29">
        <f t="shared" si="51"/>
        <v>1172</v>
      </c>
      <c r="B3072" s="30">
        <v>553</v>
      </c>
      <c r="C3072" s="30">
        <v>1</v>
      </c>
      <c r="D3072" s="30">
        <v>1817</v>
      </c>
      <c r="E3072">
        <v>11457</v>
      </c>
      <c r="H3072" t="s">
        <v>1540</v>
      </c>
      <c r="I3072" s="30">
        <f>572+600</f>
        <v>1172</v>
      </c>
      <c r="J3072" s="30">
        <v>0</v>
      </c>
      <c r="K3072" s="30" t="s">
        <v>863</v>
      </c>
      <c r="L3072" s="43" t="s">
        <v>1001</v>
      </c>
      <c r="P3072" s="41">
        <v>5</v>
      </c>
      <c r="Q3072" s="41">
        <v>2</v>
      </c>
      <c r="R3072" s="41">
        <v>53</v>
      </c>
      <c r="S3072" t="s">
        <v>3321</v>
      </c>
      <c r="AH3072" t="s">
        <v>359</v>
      </c>
    </row>
    <row r="3073" spans="1:34" ht="15.75">
      <c r="A3073" s="29">
        <f t="shared" si="51"/>
        <v>8607</v>
      </c>
      <c r="B3073" s="30">
        <v>553</v>
      </c>
      <c r="C3073" s="30">
        <v>1</v>
      </c>
      <c r="D3073" s="30">
        <v>1817</v>
      </c>
      <c r="E3073">
        <v>11458</v>
      </c>
      <c r="H3073" t="s">
        <v>1540</v>
      </c>
      <c r="I3073" s="30">
        <v>8607</v>
      </c>
      <c r="J3073" s="30">
        <v>0</v>
      </c>
      <c r="K3073" s="30" t="s">
        <v>863</v>
      </c>
      <c r="L3073" s="43" t="s">
        <v>1001</v>
      </c>
      <c r="P3073" s="41">
        <v>12</v>
      </c>
      <c r="Q3073" s="41">
        <v>7</v>
      </c>
      <c r="R3073" s="41" t="s">
        <v>1547</v>
      </c>
      <c r="S3073" t="s">
        <v>3321</v>
      </c>
      <c r="AH3073" t="s">
        <v>359</v>
      </c>
    </row>
    <row r="3074" spans="1:34" ht="15.75">
      <c r="A3074" s="29">
        <f t="shared" si="51"/>
        <v>229</v>
      </c>
      <c r="B3074" s="30">
        <v>553</v>
      </c>
      <c r="C3074" s="30">
        <v>1</v>
      </c>
      <c r="D3074" s="30">
        <v>1817</v>
      </c>
      <c r="E3074">
        <v>11459</v>
      </c>
      <c r="H3074" t="s">
        <v>1540</v>
      </c>
      <c r="I3074" s="30">
        <v>229</v>
      </c>
      <c r="J3074" s="30">
        <v>0</v>
      </c>
      <c r="K3074" s="30" t="s">
        <v>863</v>
      </c>
      <c r="L3074" s="43" t="s">
        <v>1001</v>
      </c>
      <c r="P3074" s="41">
        <v>2</v>
      </c>
      <c r="Q3074" s="41">
        <v>5</v>
      </c>
      <c r="R3074" s="41">
        <v>81</v>
      </c>
      <c r="S3074" t="s">
        <v>3324</v>
      </c>
      <c r="AH3074" t="s">
        <v>359</v>
      </c>
    </row>
    <row r="3075" spans="1:34" ht="15.75">
      <c r="A3075" s="29">
        <f t="shared" si="51"/>
        <v>95</v>
      </c>
      <c r="B3075" s="30">
        <v>553</v>
      </c>
      <c r="C3075" s="30">
        <v>1</v>
      </c>
      <c r="D3075" s="30">
        <v>1817</v>
      </c>
      <c r="E3075">
        <v>11460</v>
      </c>
      <c r="H3075" t="s">
        <v>1541</v>
      </c>
      <c r="I3075" s="30">
        <v>95</v>
      </c>
      <c r="J3075" s="30">
        <v>0</v>
      </c>
      <c r="K3075" s="30" t="s">
        <v>863</v>
      </c>
      <c r="L3075" s="43" t="s">
        <v>6003</v>
      </c>
      <c r="P3075" s="41">
        <v>8</v>
      </c>
      <c r="Q3075" s="41">
        <v>1</v>
      </c>
      <c r="R3075" s="41">
        <v>51</v>
      </c>
      <c r="S3075" t="s">
        <v>3329</v>
      </c>
      <c r="AH3075" t="s">
        <v>359</v>
      </c>
    </row>
    <row r="3076" spans="1:34" ht="15.75">
      <c r="A3076" s="29">
        <f t="shared" si="51"/>
        <v>31428</v>
      </c>
      <c r="B3076" s="30">
        <v>553</v>
      </c>
      <c r="C3076" s="30">
        <v>1</v>
      </c>
      <c r="D3076" s="30">
        <v>1817</v>
      </c>
      <c r="E3076">
        <v>11462</v>
      </c>
      <c r="H3076" t="s">
        <v>1540</v>
      </c>
      <c r="I3076" s="30">
        <f>20552+10876</f>
        <v>31428</v>
      </c>
      <c r="J3076" s="30">
        <v>0</v>
      </c>
      <c r="K3076" s="30" t="s">
        <v>863</v>
      </c>
      <c r="L3076" s="43" t="s">
        <v>1065</v>
      </c>
      <c r="M3076" s="41" t="s">
        <v>1066</v>
      </c>
      <c r="N3076" s="41" t="s">
        <v>1422</v>
      </c>
      <c r="O3076" s="41" t="s">
        <v>1067</v>
      </c>
      <c r="P3076" s="41">
        <v>28</v>
      </c>
      <c r="Q3076" s="41">
        <v>11</v>
      </c>
      <c r="R3076" s="41" t="s">
        <v>1547</v>
      </c>
      <c r="S3076" t="s">
        <v>1068</v>
      </c>
      <c r="T3076" t="s">
        <v>2484</v>
      </c>
      <c r="V3076" t="s">
        <v>1878</v>
      </c>
      <c r="AH3076" t="s">
        <v>359</v>
      </c>
    </row>
    <row r="3077" spans="1:34" ht="15.75">
      <c r="A3077" s="29">
        <f t="shared" si="51"/>
        <v>29961</v>
      </c>
      <c r="B3077" s="31">
        <v>553</v>
      </c>
      <c r="C3077" s="31">
        <v>1</v>
      </c>
      <c r="D3077" s="31">
        <v>1817</v>
      </c>
      <c r="E3077">
        <v>11463</v>
      </c>
      <c r="F3077" s="9"/>
      <c r="G3077" s="9"/>
      <c r="H3077" s="9" t="s">
        <v>1541</v>
      </c>
      <c r="I3077" s="31">
        <f>29661+300</f>
        <v>29961</v>
      </c>
      <c r="J3077" s="31">
        <v>0</v>
      </c>
      <c r="K3077" s="30" t="s">
        <v>863</v>
      </c>
      <c r="L3077" s="43" t="s">
        <v>1069</v>
      </c>
      <c r="M3077" s="43" t="s">
        <v>3449</v>
      </c>
      <c r="N3077" s="43"/>
      <c r="O3077" s="43" t="s">
        <v>1070</v>
      </c>
      <c r="P3077" s="43">
        <v>21</v>
      </c>
      <c r="Q3077" s="43">
        <v>3</v>
      </c>
      <c r="R3077" s="43">
        <v>57</v>
      </c>
      <c r="S3077" s="9" t="s">
        <v>1071</v>
      </c>
      <c r="T3077" s="9" t="s">
        <v>1072</v>
      </c>
      <c r="U3077" s="9"/>
      <c r="V3077" s="9" t="s">
        <v>5608</v>
      </c>
      <c r="W3077" s="9"/>
      <c r="AH3077" t="s">
        <v>359</v>
      </c>
    </row>
    <row r="3078" spans="1:34" ht="15.75">
      <c r="A3078" s="29">
        <f t="shared" si="51"/>
        <v>6951</v>
      </c>
      <c r="B3078" s="30">
        <v>553</v>
      </c>
      <c r="C3078" s="30">
        <v>1</v>
      </c>
      <c r="D3078" s="30">
        <v>1817</v>
      </c>
      <c r="E3078">
        <v>11464</v>
      </c>
      <c r="H3078" t="s">
        <v>1541</v>
      </c>
      <c r="I3078" s="30">
        <v>6951</v>
      </c>
      <c r="J3078" s="30">
        <v>0</v>
      </c>
      <c r="K3078" s="30" t="s">
        <v>863</v>
      </c>
      <c r="L3078" s="43" t="s">
        <v>1309</v>
      </c>
      <c r="P3078" s="43">
        <v>15</v>
      </c>
      <c r="Q3078" s="43">
        <v>1</v>
      </c>
      <c r="R3078" s="43">
        <v>59</v>
      </c>
      <c r="S3078" s="9" t="s">
        <v>3329</v>
      </c>
      <c r="AH3078" t="s">
        <v>359</v>
      </c>
    </row>
    <row r="3079" spans="1:34" ht="15.75">
      <c r="A3079" s="29">
        <f t="shared" si="51"/>
        <v>1306</v>
      </c>
      <c r="B3079" s="30">
        <v>553</v>
      </c>
      <c r="C3079" s="30">
        <v>1</v>
      </c>
      <c r="D3079" s="30">
        <v>1817</v>
      </c>
      <c r="E3079">
        <v>11465</v>
      </c>
      <c r="H3079" t="s">
        <v>1540</v>
      </c>
      <c r="I3079" s="30">
        <v>1306</v>
      </c>
      <c r="J3079" s="30">
        <v>0</v>
      </c>
      <c r="K3079" s="30" t="s">
        <v>863</v>
      </c>
      <c r="L3079" s="43" t="s">
        <v>1311</v>
      </c>
      <c r="P3079" s="43">
        <v>16</v>
      </c>
      <c r="Q3079" s="43">
        <v>7</v>
      </c>
      <c r="R3079" s="43">
        <v>88</v>
      </c>
      <c r="S3079" s="9" t="s">
        <v>1073</v>
      </c>
      <c r="AH3079" t="s">
        <v>359</v>
      </c>
    </row>
    <row r="3080" spans="1:34" ht="15.75">
      <c r="A3080" s="29">
        <f t="shared" si="51"/>
        <v>16788</v>
      </c>
      <c r="B3080" s="31">
        <v>553</v>
      </c>
      <c r="C3080" s="31">
        <v>1</v>
      </c>
      <c r="D3080" s="31">
        <v>1817</v>
      </c>
      <c r="E3080">
        <v>11466</v>
      </c>
      <c r="F3080" s="9"/>
      <c r="G3080" s="9"/>
      <c r="H3080" s="9" t="s">
        <v>1540</v>
      </c>
      <c r="I3080" s="31">
        <v>16788</v>
      </c>
      <c r="J3080" s="31">
        <v>0</v>
      </c>
      <c r="K3080" s="30" t="s">
        <v>863</v>
      </c>
      <c r="L3080" s="43" t="s">
        <v>1074</v>
      </c>
      <c r="M3080" s="41" t="s">
        <v>1075</v>
      </c>
      <c r="N3080" s="41" t="s">
        <v>1076</v>
      </c>
      <c r="O3080" s="41" t="s">
        <v>1077</v>
      </c>
      <c r="P3080" s="41">
        <v>26</v>
      </c>
      <c r="Q3080" s="41">
        <v>12</v>
      </c>
      <c r="R3080" s="41">
        <v>69</v>
      </c>
      <c r="S3080" t="s">
        <v>1078</v>
      </c>
      <c r="T3080" t="s">
        <v>3910</v>
      </c>
      <c r="V3080" t="s">
        <v>3139</v>
      </c>
      <c r="AH3080" t="s">
        <v>359</v>
      </c>
    </row>
    <row r="3081" spans="1:34" ht="15.75">
      <c r="A3081" s="29">
        <f t="shared" si="51"/>
        <v>4234</v>
      </c>
      <c r="B3081" s="30">
        <v>553</v>
      </c>
      <c r="C3081" s="30">
        <v>1</v>
      </c>
      <c r="D3081" s="30">
        <v>1817</v>
      </c>
      <c r="E3081">
        <v>11467</v>
      </c>
      <c r="H3081" t="s">
        <v>1541</v>
      </c>
      <c r="I3081" s="30">
        <f>2734+1500</f>
        <v>4234</v>
      </c>
      <c r="J3081" s="30">
        <v>0</v>
      </c>
      <c r="K3081" s="30" t="s">
        <v>863</v>
      </c>
      <c r="L3081" s="43" t="s">
        <v>4316</v>
      </c>
      <c r="P3081" s="41">
        <v>20</v>
      </c>
      <c r="Q3081" s="41">
        <v>7</v>
      </c>
      <c r="R3081" s="41">
        <v>46</v>
      </c>
      <c r="S3081" t="s">
        <v>1079</v>
      </c>
      <c r="AH3081" t="s">
        <v>359</v>
      </c>
    </row>
    <row r="3082" spans="1:34" ht="15.75">
      <c r="A3082" s="29">
        <f t="shared" si="51"/>
        <v>2491</v>
      </c>
      <c r="B3082" s="30">
        <v>553</v>
      </c>
      <c r="C3082" s="30">
        <v>1</v>
      </c>
      <c r="D3082" s="30">
        <v>1817</v>
      </c>
      <c r="E3082">
        <v>11468</v>
      </c>
      <c r="H3082" t="s">
        <v>1540</v>
      </c>
      <c r="I3082" s="30">
        <v>2491</v>
      </c>
      <c r="J3082" s="30">
        <v>0</v>
      </c>
      <c r="K3082" s="30" t="s">
        <v>863</v>
      </c>
      <c r="L3082" s="43" t="s">
        <v>1315</v>
      </c>
      <c r="P3082" s="41">
        <v>31</v>
      </c>
      <c r="Q3082" s="41">
        <v>3</v>
      </c>
      <c r="R3082" s="41">
        <v>84</v>
      </c>
      <c r="S3082" t="s">
        <v>3324</v>
      </c>
      <c r="AH3082" t="s">
        <v>359</v>
      </c>
    </row>
    <row r="3083" spans="1:34" ht="15.75">
      <c r="A3083" s="29">
        <f t="shared" si="51"/>
        <v>144</v>
      </c>
      <c r="B3083" s="30">
        <v>553</v>
      </c>
      <c r="C3083" s="30">
        <v>1</v>
      </c>
      <c r="D3083" s="30">
        <v>1817</v>
      </c>
      <c r="E3083">
        <v>11469</v>
      </c>
      <c r="H3083" t="s">
        <v>1541</v>
      </c>
      <c r="I3083" s="30">
        <v>144</v>
      </c>
      <c r="J3083" s="30">
        <v>0</v>
      </c>
      <c r="K3083" s="30" t="s">
        <v>863</v>
      </c>
      <c r="L3083" s="43" t="s">
        <v>1365</v>
      </c>
      <c r="P3083" s="41">
        <v>17</v>
      </c>
      <c r="Q3083" s="41">
        <v>5</v>
      </c>
      <c r="R3083" s="41">
        <v>69</v>
      </c>
      <c r="S3083" t="s">
        <v>3329</v>
      </c>
      <c r="AH3083" t="s">
        <v>359</v>
      </c>
    </row>
    <row r="3084" spans="1:34" ht="15.75">
      <c r="A3084" s="29">
        <f t="shared" si="51"/>
        <v>42</v>
      </c>
      <c r="B3084" s="30">
        <v>554</v>
      </c>
      <c r="C3084" s="30">
        <v>1</v>
      </c>
      <c r="D3084" s="30">
        <v>1817</v>
      </c>
      <c r="E3084">
        <v>11507</v>
      </c>
      <c r="H3084" t="s">
        <v>1541</v>
      </c>
      <c r="I3084" s="30">
        <v>42</v>
      </c>
      <c r="J3084" s="30">
        <v>0</v>
      </c>
      <c r="K3084" s="30" t="s">
        <v>863</v>
      </c>
      <c r="L3084" s="43" t="s">
        <v>1004</v>
      </c>
      <c r="P3084" s="41">
        <v>18</v>
      </c>
      <c r="Q3084" s="41">
        <v>8</v>
      </c>
      <c r="R3084" s="41">
        <v>75</v>
      </c>
      <c r="S3084" t="s">
        <v>3329</v>
      </c>
      <c r="AH3084" t="s">
        <v>359</v>
      </c>
    </row>
    <row r="3085" spans="1:34" ht="15.75">
      <c r="A3085" s="29">
        <f t="shared" si="51"/>
        <v>27</v>
      </c>
      <c r="B3085" s="30">
        <v>554</v>
      </c>
      <c r="C3085" s="30">
        <v>1</v>
      </c>
      <c r="D3085" s="30">
        <v>1817</v>
      </c>
      <c r="E3085">
        <v>11508</v>
      </c>
      <c r="H3085" t="s">
        <v>1541</v>
      </c>
      <c r="I3085" s="30">
        <v>27</v>
      </c>
      <c r="J3085" s="30">
        <v>0</v>
      </c>
      <c r="K3085" s="30" t="s">
        <v>863</v>
      </c>
      <c r="L3085" s="43" t="s">
        <v>1005</v>
      </c>
      <c r="P3085" s="41">
        <v>30</v>
      </c>
      <c r="Q3085" s="41">
        <v>3</v>
      </c>
      <c r="R3085" s="41">
        <v>29</v>
      </c>
      <c r="S3085" t="s">
        <v>3343</v>
      </c>
      <c r="AH3085" t="s">
        <v>359</v>
      </c>
    </row>
    <row r="3086" spans="1:34" ht="15.75">
      <c r="A3086" s="29">
        <f t="shared" si="51"/>
        <v>5</v>
      </c>
      <c r="B3086" s="30">
        <v>554</v>
      </c>
      <c r="C3086" s="30">
        <v>1</v>
      </c>
      <c r="D3086" s="30">
        <v>1817</v>
      </c>
      <c r="E3086">
        <v>11509</v>
      </c>
      <c r="H3086" t="s">
        <v>1540</v>
      </c>
      <c r="I3086" s="30">
        <v>5</v>
      </c>
      <c r="J3086" s="30">
        <v>0</v>
      </c>
      <c r="K3086" s="30" t="s">
        <v>863</v>
      </c>
      <c r="L3086" s="43" t="s">
        <v>1005</v>
      </c>
      <c r="M3086" s="41" t="s">
        <v>999</v>
      </c>
      <c r="P3086" s="41">
        <v>22</v>
      </c>
      <c r="Q3086" s="41">
        <v>12</v>
      </c>
      <c r="R3086" s="41">
        <v>45</v>
      </c>
      <c r="S3086" t="s">
        <v>1547</v>
      </c>
      <c r="AH3086" t="s">
        <v>359</v>
      </c>
    </row>
    <row r="3087" spans="1:34" ht="15.75">
      <c r="A3087" s="29">
        <f t="shared" si="51"/>
        <v>1649</v>
      </c>
      <c r="B3087" s="30">
        <v>554</v>
      </c>
      <c r="C3087" s="30">
        <v>1</v>
      </c>
      <c r="D3087" s="30">
        <v>1817</v>
      </c>
      <c r="E3087">
        <v>11510</v>
      </c>
      <c r="H3087" t="s">
        <v>1540</v>
      </c>
      <c r="I3087" s="30">
        <v>1649</v>
      </c>
      <c r="J3087" s="30">
        <v>0</v>
      </c>
      <c r="K3087" s="30" t="s">
        <v>863</v>
      </c>
      <c r="L3087" s="43" t="s">
        <v>1005</v>
      </c>
      <c r="P3087" s="41">
        <v>15</v>
      </c>
      <c r="Q3087" s="41">
        <v>12</v>
      </c>
      <c r="R3087" s="41">
        <v>44</v>
      </c>
      <c r="S3087" t="s">
        <v>3321</v>
      </c>
      <c r="AH3087" t="s">
        <v>359</v>
      </c>
    </row>
    <row r="3088" spans="1:34" ht="15.75">
      <c r="A3088" s="29">
        <f t="shared" si="51"/>
        <v>36</v>
      </c>
      <c r="B3088" s="30">
        <v>554</v>
      </c>
      <c r="C3088" s="30">
        <v>1</v>
      </c>
      <c r="D3088" s="30">
        <v>1817</v>
      </c>
      <c r="E3088">
        <v>11511</v>
      </c>
      <c r="H3088" t="s">
        <v>1540</v>
      </c>
      <c r="I3088" s="30">
        <v>36</v>
      </c>
      <c r="J3088" s="30">
        <v>0</v>
      </c>
      <c r="K3088" s="30" t="s">
        <v>863</v>
      </c>
      <c r="L3088" s="43" t="s">
        <v>1326</v>
      </c>
      <c r="P3088" s="41">
        <v>9</v>
      </c>
      <c r="Q3088" s="41">
        <v>8</v>
      </c>
      <c r="R3088" s="41">
        <v>56</v>
      </c>
      <c r="S3088" t="s">
        <v>3324</v>
      </c>
      <c r="AH3088" t="s">
        <v>359</v>
      </c>
    </row>
    <row r="3089" spans="1:34" ht="15.75">
      <c r="A3089" s="29">
        <f t="shared" si="51"/>
        <v>9</v>
      </c>
      <c r="B3089" s="30">
        <v>554</v>
      </c>
      <c r="C3089" s="30">
        <v>1</v>
      </c>
      <c r="D3089" s="30">
        <v>1817</v>
      </c>
      <c r="E3089">
        <v>11512</v>
      </c>
      <c r="H3089" t="s">
        <v>1541</v>
      </c>
      <c r="I3089" s="30">
        <v>9</v>
      </c>
      <c r="J3089" s="30">
        <v>0</v>
      </c>
      <c r="K3089" s="30" t="s">
        <v>863</v>
      </c>
      <c r="L3089" s="43" t="s">
        <v>1313</v>
      </c>
      <c r="P3089" s="41">
        <v>28</v>
      </c>
      <c r="Q3089" s="41">
        <v>1</v>
      </c>
      <c r="R3089" s="41">
        <v>90</v>
      </c>
      <c r="S3089" t="s">
        <v>3329</v>
      </c>
      <c r="AH3089" t="s">
        <v>359</v>
      </c>
    </row>
    <row r="3090" spans="1:34" ht="15.75">
      <c r="A3090" s="29">
        <f t="shared" si="51"/>
        <v>9000</v>
      </c>
      <c r="B3090" s="30">
        <v>554</v>
      </c>
      <c r="C3090" s="30">
        <v>1</v>
      </c>
      <c r="D3090" s="30">
        <v>1817</v>
      </c>
      <c r="E3090">
        <v>11513</v>
      </c>
      <c r="H3090" t="s">
        <v>1541</v>
      </c>
      <c r="I3090" s="30">
        <v>9000</v>
      </c>
      <c r="J3090" s="30">
        <v>0</v>
      </c>
      <c r="K3090" s="30" t="s">
        <v>863</v>
      </c>
      <c r="L3090" s="43" t="s">
        <v>1313</v>
      </c>
      <c r="P3090" s="41">
        <v>4</v>
      </c>
      <c r="Q3090" s="41">
        <v>12</v>
      </c>
      <c r="R3090" s="41" t="s">
        <v>1547</v>
      </c>
      <c r="S3090" t="s">
        <v>1547</v>
      </c>
      <c r="AH3090" t="s">
        <v>359</v>
      </c>
    </row>
    <row r="3091" spans="1:34" ht="15.75">
      <c r="A3091" s="29">
        <f aca="true" t="shared" si="52" ref="A3091:A3154">I3091+J3091*20*X3091</f>
        <v>220</v>
      </c>
      <c r="B3091" s="30">
        <v>554</v>
      </c>
      <c r="C3091" s="30">
        <v>1</v>
      </c>
      <c r="D3091" s="30">
        <v>1817</v>
      </c>
      <c r="E3091">
        <v>11514</v>
      </c>
      <c r="H3091" t="s">
        <v>1541</v>
      </c>
      <c r="I3091" s="30">
        <v>220</v>
      </c>
      <c r="J3091" s="30">
        <v>0</v>
      </c>
      <c r="K3091" s="30" t="s">
        <v>863</v>
      </c>
      <c r="L3091" s="43" t="s">
        <v>1006</v>
      </c>
      <c r="P3091" s="41">
        <v>1</v>
      </c>
      <c r="Q3091" s="41">
        <v>2</v>
      </c>
      <c r="R3091" s="41">
        <v>18</v>
      </c>
      <c r="S3091" t="s">
        <v>3343</v>
      </c>
      <c r="AH3091" t="s">
        <v>359</v>
      </c>
    </row>
    <row r="3092" spans="1:34" ht="15.75">
      <c r="A3092" s="29">
        <f t="shared" si="52"/>
        <v>1138</v>
      </c>
      <c r="B3092" s="30">
        <v>554</v>
      </c>
      <c r="C3092" s="30">
        <v>1</v>
      </c>
      <c r="D3092" s="30">
        <v>1817</v>
      </c>
      <c r="E3092">
        <v>11515</v>
      </c>
      <c r="H3092" t="s">
        <v>1540</v>
      </c>
      <c r="I3092" s="30">
        <v>1138</v>
      </c>
      <c r="J3092" s="30">
        <v>0</v>
      </c>
      <c r="K3092" s="30" t="s">
        <v>863</v>
      </c>
      <c r="L3092" s="43" t="s">
        <v>1006</v>
      </c>
      <c r="P3092" s="41">
        <v>10</v>
      </c>
      <c r="Q3092" s="41">
        <v>12</v>
      </c>
      <c r="R3092" s="41">
        <v>38</v>
      </c>
      <c r="S3092" t="s">
        <v>3321</v>
      </c>
      <c r="AH3092" t="s">
        <v>359</v>
      </c>
    </row>
    <row r="3093" spans="1:34" ht="15.75">
      <c r="A3093" s="29">
        <f t="shared" si="52"/>
        <v>99</v>
      </c>
      <c r="B3093" s="30">
        <v>554</v>
      </c>
      <c r="C3093" s="30">
        <v>1</v>
      </c>
      <c r="D3093" s="30">
        <v>1817</v>
      </c>
      <c r="E3093">
        <v>11516</v>
      </c>
      <c r="H3093" t="s">
        <v>1541</v>
      </c>
      <c r="I3093" s="30">
        <v>99</v>
      </c>
      <c r="J3093" s="30">
        <v>0</v>
      </c>
      <c r="K3093" s="30" t="s">
        <v>863</v>
      </c>
      <c r="L3093" s="43" t="s">
        <v>5231</v>
      </c>
      <c r="P3093" s="41">
        <v>18</v>
      </c>
      <c r="Q3093" s="41">
        <v>6</v>
      </c>
      <c r="R3093" s="41">
        <v>37</v>
      </c>
      <c r="S3093" t="s">
        <v>3329</v>
      </c>
      <c r="AH3093" t="s">
        <v>359</v>
      </c>
    </row>
    <row r="3094" spans="1:34" ht="15.75">
      <c r="A3094" s="29">
        <f t="shared" si="52"/>
        <v>11376</v>
      </c>
      <c r="B3094" s="30">
        <v>554</v>
      </c>
      <c r="C3094" s="30">
        <v>1</v>
      </c>
      <c r="D3094" s="30">
        <v>1817</v>
      </c>
      <c r="E3094">
        <v>11517</v>
      </c>
      <c r="H3094" t="s">
        <v>850</v>
      </c>
      <c r="I3094" s="30">
        <f>366+185+10825</f>
        <v>11376</v>
      </c>
      <c r="J3094" s="30">
        <v>0</v>
      </c>
      <c r="K3094" s="30" t="s">
        <v>863</v>
      </c>
      <c r="L3094" s="43" t="s">
        <v>1080</v>
      </c>
      <c r="P3094" s="41">
        <v>12</v>
      </c>
      <c r="Q3094" s="41">
        <v>1</v>
      </c>
      <c r="R3094" s="41">
        <v>49</v>
      </c>
      <c r="S3094" t="s">
        <v>3329</v>
      </c>
      <c r="AH3094" t="s">
        <v>359</v>
      </c>
    </row>
    <row r="3095" spans="1:34" ht="15.75">
      <c r="A3095" s="29">
        <f t="shared" si="52"/>
        <v>40</v>
      </c>
      <c r="B3095" s="30">
        <v>554</v>
      </c>
      <c r="C3095" s="30">
        <v>1</v>
      </c>
      <c r="D3095" s="30">
        <v>1817</v>
      </c>
      <c r="E3095">
        <v>11518</v>
      </c>
      <c r="H3095" t="s">
        <v>1540</v>
      </c>
      <c r="I3095" s="30">
        <v>40</v>
      </c>
      <c r="J3095" s="30">
        <v>0</v>
      </c>
      <c r="K3095" s="30" t="s">
        <v>863</v>
      </c>
      <c r="L3095" s="43" t="s">
        <v>2777</v>
      </c>
      <c r="P3095" s="41">
        <v>17</v>
      </c>
      <c r="Q3095" s="41">
        <v>5</v>
      </c>
      <c r="R3095" s="41">
        <v>66</v>
      </c>
      <c r="S3095" t="s">
        <v>3321</v>
      </c>
      <c r="AH3095" t="s">
        <v>359</v>
      </c>
    </row>
    <row r="3096" spans="1:34" ht="15.75">
      <c r="A3096" s="29">
        <f t="shared" si="52"/>
        <v>14964</v>
      </c>
      <c r="B3096" s="30">
        <v>554</v>
      </c>
      <c r="C3096" s="30">
        <v>1</v>
      </c>
      <c r="D3096" s="30">
        <v>1817</v>
      </c>
      <c r="E3096">
        <v>11519</v>
      </c>
      <c r="H3096" t="s">
        <v>1541</v>
      </c>
      <c r="I3096" s="30">
        <v>14964</v>
      </c>
      <c r="J3096" s="30">
        <v>0</v>
      </c>
      <c r="K3096" s="30" t="s">
        <v>863</v>
      </c>
      <c r="L3096" s="43" t="s">
        <v>3992</v>
      </c>
      <c r="P3096" s="41">
        <v>8</v>
      </c>
      <c r="Q3096" s="41">
        <v>2</v>
      </c>
      <c r="R3096" s="41">
        <v>47</v>
      </c>
      <c r="S3096" t="s">
        <v>3352</v>
      </c>
      <c r="AH3096" t="s">
        <v>359</v>
      </c>
    </row>
    <row r="3097" spans="1:34" ht="15.75">
      <c r="A3097" s="29">
        <f t="shared" si="52"/>
        <v>16774</v>
      </c>
      <c r="B3097" s="31">
        <v>554</v>
      </c>
      <c r="C3097" s="31">
        <v>1</v>
      </c>
      <c r="D3097" s="31">
        <v>1817</v>
      </c>
      <c r="E3097">
        <v>11520</v>
      </c>
      <c r="F3097" s="9"/>
      <c r="G3097" s="9"/>
      <c r="H3097" s="9" t="s">
        <v>1540</v>
      </c>
      <c r="I3097" s="31">
        <v>5534</v>
      </c>
      <c r="J3097" s="31">
        <v>562</v>
      </c>
      <c r="K3097" s="30" t="s">
        <v>863</v>
      </c>
      <c r="L3097" s="43" t="s">
        <v>5700</v>
      </c>
      <c r="N3097" s="41" t="s">
        <v>2781</v>
      </c>
      <c r="P3097" s="41">
        <v>26</v>
      </c>
      <c r="Q3097" s="41">
        <v>7</v>
      </c>
      <c r="R3097" s="41" t="s">
        <v>1547</v>
      </c>
      <c r="S3097" t="s">
        <v>1547</v>
      </c>
      <c r="X3097">
        <v>1</v>
      </c>
      <c r="Y3097" t="s">
        <v>1081</v>
      </c>
      <c r="AG3097" s="41" t="s">
        <v>4243</v>
      </c>
      <c r="AH3097" t="s">
        <v>359</v>
      </c>
    </row>
    <row r="3098" spans="1:34" ht="15.75">
      <c r="A3098" s="29">
        <f t="shared" si="52"/>
        <v>1282</v>
      </c>
      <c r="B3098" s="30">
        <v>554</v>
      </c>
      <c r="C3098" s="30">
        <v>1</v>
      </c>
      <c r="D3098" s="30">
        <v>1817</v>
      </c>
      <c r="E3098">
        <v>11521</v>
      </c>
      <c r="H3098" t="s">
        <v>1540</v>
      </c>
      <c r="I3098" s="30">
        <f>809+440+33</f>
        <v>1282</v>
      </c>
      <c r="J3098" s="30">
        <v>0</v>
      </c>
      <c r="K3098" s="30" t="s">
        <v>863</v>
      </c>
      <c r="L3098" s="43" t="s">
        <v>3996</v>
      </c>
      <c r="P3098" s="41">
        <v>6</v>
      </c>
      <c r="Q3098" s="41">
        <v>4</v>
      </c>
      <c r="R3098" s="41" t="s">
        <v>1547</v>
      </c>
      <c r="S3098" t="s">
        <v>1547</v>
      </c>
      <c r="AH3098" t="s">
        <v>359</v>
      </c>
    </row>
    <row r="3099" spans="1:34" ht="15.75">
      <c r="A3099" s="29">
        <f t="shared" si="52"/>
        <v>100</v>
      </c>
      <c r="B3099" s="30">
        <v>554</v>
      </c>
      <c r="C3099" s="30">
        <v>1</v>
      </c>
      <c r="D3099" s="30">
        <v>1817</v>
      </c>
      <c r="E3099">
        <v>11522</v>
      </c>
      <c r="H3099" t="s">
        <v>1541</v>
      </c>
      <c r="I3099" s="30">
        <v>100</v>
      </c>
      <c r="J3099" s="30">
        <v>0</v>
      </c>
      <c r="K3099" s="30" t="s">
        <v>863</v>
      </c>
      <c r="L3099" s="43" t="s">
        <v>5702</v>
      </c>
      <c r="P3099" s="41">
        <v>27</v>
      </c>
      <c r="Q3099" s="41">
        <v>11</v>
      </c>
      <c r="R3099" s="41">
        <v>45</v>
      </c>
      <c r="S3099" t="s">
        <v>3329</v>
      </c>
      <c r="AH3099" t="s">
        <v>359</v>
      </c>
    </row>
    <row r="3100" spans="1:34" ht="15.75">
      <c r="A3100" s="29">
        <f t="shared" si="52"/>
        <v>3762</v>
      </c>
      <c r="B3100" s="30">
        <v>554</v>
      </c>
      <c r="C3100" s="30">
        <v>1</v>
      </c>
      <c r="D3100" s="30">
        <v>1817</v>
      </c>
      <c r="E3100">
        <v>11523</v>
      </c>
      <c r="H3100" t="s">
        <v>1540</v>
      </c>
      <c r="I3100" s="30">
        <v>3762</v>
      </c>
      <c r="J3100" s="30">
        <v>0</v>
      </c>
      <c r="K3100" s="30" t="s">
        <v>863</v>
      </c>
      <c r="L3100" s="43" t="s">
        <v>5703</v>
      </c>
      <c r="P3100" s="41">
        <v>11</v>
      </c>
      <c r="Q3100" s="41">
        <v>12</v>
      </c>
      <c r="R3100" s="41">
        <v>70</v>
      </c>
      <c r="S3100" t="s">
        <v>3321</v>
      </c>
      <c r="AH3100" t="s">
        <v>359</v>
      </c>
    </row>
    <row r="3101" spans="1:34" ht="15.75">
      <c r="A3101" s="29">
        <f t="shared" si="52"/>
        <v>1006</v>
      </c>
      <c r="B3101" s="30">
        <v>555</v>
      </c>
      <c r="C3101" s="30">
        <v>1</v>
      </c>
      <c r="D3101" s="30">
        <v>1817</v>
      </c>
      <c r="E3101">
        <v>11550</v>
      </c>
      <c r="H3101" t="s">
        <v>1540</v>
      </c>
      <c r="I3101" s="30">
        <v>1006</v>
      </c>
      <c r="J3101" s="30">
        <v>0</v>
      </c>
      <c r="K3101" s="30" t="s">
        <v>884</v>
      </c>
      <c r="L3101" s="43" t="s">
        <v>5705</v>
      </c>
      <c r="P3101" s="41">
        <v>17</v>
      </c>
      <c r="Q3101" s="41">
        <v>6</v>
      </c>
      <c r="R3101" s="41">
        <v>83</v>
      </c>
      <c r="S3101" t="s">
        <v>3321</v>
      </c>
      <c r="AH3101" t="s">
        <v>359</v>
      </c>
    </row>
    <row r="3102" spans="1:34" ht="15.75">
      <c r="A3102" s="29">
        <f t="shared" si="52"/>
        <v>28</v>
      </c>
      <c r="B3102" s="30">
        <v>555</v>
      </c>
      <c r="C3102" s="30">
        <v>1</v>
      </c>
      <c r="D3102" s="30">
        <v>1817</v>
      </c>
      <c r="E3102">
        <v>11551</v>
      </c>
      <c r="H3102" t="s">
        <v>1541</v>
      </c>
      <c r="I3102" s="30">
        <v>28</v>
      </c>
      <c r="J3102" s="30">
        <v>0</v>
      </c>
      <c r="K3102" s="30" t="s">
        <v>884</v>
      </c>
      <c r="L3102" s="43" t="s">
        <v>4193</v>
      </c>
      <c r="P3102" s="41">
        <v>16</v>
      </c>
      <c r="Q3102" s="41">
        <v>3</v>
      </c>
      <c r="R3102" s="41">
        <v>40</v>
      </c>
      <c r="S3102" t="s">
        <v>3321</v>
      </c>
      <c r="AH3102" t="s">
        <v>359</v>
      </c>
    </row>
    <row r="3103" spans="1:34" ht="15.75">
      <c r="A3103" s="29">
        <f t="shared" si="52"/>
        <v>201</v>
      </c>
      <c r="B3103" s="30">
        <v>555</v>
      </c>
      <c r="C3103" s="30">
        <v>1</v>
      </c>
      <c r="D3103" s="30">
        <v>1817</v>
      </c>
      <c r="E3103">
        <v>11552</v>
      </c>
      <c r="H3103" t="s">
        <v>1541</v>
      </c>
      <c r="I3103" s="30">
        <v>201</v>
      </c>
      <c r="J3103" s="30">
        <v>0</v>
      </c>
      <c r="K3103" s="30" t="s">
        <v>884</v>
      </c>
      <c r="L3103" s="43" t="s">
        <v>3655</v>
      </c>
      <c r="P3103" s="41">
        <v>16</v>
      </c>
      <c r="Q3103" s="41">
        <v>11</v>
      </c>
      <c r="R3103" s="41">
        <v>52</v>
      </c>
      <c r="S3103" t="s">
        <v>3321</v>
      </c>
      <c r="AH3103" t="s">
        <v>359</v>
      </c>
    </row>
    <row r="3104" spans="1:34" ht="15.75">
      <c r="A3104" s="29">
        <f t="shared" si="52"/>
        <v>152</v>
      </c>
      <c r="B3104" s="30">
        <v>555</v>
      </c>
      <c r="C3104" s="30">
        <v>1</v>
      </c>
      <c r="D3104" s="30">
        <v>1817</v>
      </c>
      <c r="E3104">
        <v>11554</v>
      </c>
      <c r="H3104" t="s">
        <v>1540</v>
      </c>
      <c r="I3104" s="30">
        <v>152</v>
      </c>
      <c r="J3104" s="30">
        <v>0</v>
      </c>
      <c r="K3104" s="30" t="s">
        <v>884</v>
      </c>
      <c r="L3104" s="43" t="s">
        <v>3357</v>
      </c>
      <c r="P3104" s="41">
        <v>1</v>
      </c>
      <c r="Q3104" s="41">
        <v>9</v>
      </c>
      <c r="R3104" s="41" t="s">
        <v>1547</v>
      </c>
      <c r="S3104" t="s">
        <v>3321</v>
      </c>
      <c r="AH3104" t="s">
        <v>359</v>
      </c>
    </row>
    <row r="3105" spans="1:34" ht="15.75">
      <c r="A3105" s="29">
        <f t="shared" si="52"/>
        <v>104</v>
      </c>
      <c r="B3105" s="30">
        <v>555</v>
      </c>
      <c r="C3105" s="30">
        <v>1</v>
      </c>
      <c r="D3105" s="30">
        <v>1817</v>
      </c>
      <c r="E3105">
        <v>11555</v>
      </c>
      <c r="H3105" t="s">
        <v>1540</v>
      </c>
      <c r="I3105" s="30">
        <v>104</v>
      </c>
      <c r="J3105" s="30">
        <v>0</v>
      </c>
      <c r="K3105" s="30" t="s">
        <v>884</v>
      </c>
      <c r="L3105" s="43" t="s">
        <v>3357</v>
      </c>
      <c r="P3105" s="41">
        <v>14</v>
      </c>
      <c r="Q3105" s="41">
        <v>8</v>
      </c>
      <c r="R3105" s="41">
        <v>35</v>
      </c>
      <c r="S3105" t="s">
        <v>3321</v>
      </c>
      <c r="AH3105" t="s">
        <v>359</v>
      </c>
    </row>
    <row r="3106" spans="1:34" ht="15.75">
      <c r="A3106" s="29">
        <f t="shared" si="52"/>
        <v>187</v>
      </c>
      <c r="B3106" s="30">
        <v>555</v>
      </c>
      <c r="C3106" s="30">
        <v>1</v>
      </c>
      <c r="D3106" s="30">
        <v>1817</v>
      </c>
      <c r="E3106">
        <v>11556</v>
      </c>
      <c r="H3106" t="s">
        <v>1541</v>
      </c>
      <c r="I3106" s="30">
        <v>187</v>
      </c>
      <c r="J3106" s="30">
        <v>0</v>
      </c>
      <c r="K3106" s="30" t="s">
        <v>884</v>
      </c>
      <c r="L3106" s="43" t="s">
        <v>3359</v>
      </c>
      <c r="P3106" s="41">
        <v>9</v>
      </c>
      <c r="Q3106" s="41">
        <v>8</v>
      </c>
      <c r="R3106" s="41">
        <v>46</v>
      </c>
      <c r="S3106" t="s">
        <v>874</v>
      </c>
      <c r="AH3106" t="s">
        <v>359</v>
      </c>
    </row>
    <row r="3107" spans="1:34" ht="15.75">
      <c r="A3107" s="29">
        <f t="shared" si="52"/>
        <v>16917</v>
      </c>
      <c r="B3107" s="31">
        <v>555</v>
      </c>
      <c r="C3107" s="31">
        <v>1</v>
      </c>
      <c r="D3107" s="31">
        <v>1817</v>
      </c>
      <c r="E3107">
        <v>11557</v>
      </c>
      <c r="F3107" s="9"/>
      <c r="G3107" s="9"/>
      <c r="H3107" s="9" t="s">
        <v>1541</v>
      </c>
      <c r="I3107" s="31">
        <v>16917</v>
      </c>
      <c r="J3107" s="31">
        <v>0</v>
      </c>
      <c r="K3107" s="30" t="s">
        <v>884</v>
      </c>
      <c r="L3107" s="43" t="s">
        <v>3359</v>
      </c>
      <c r="M3107" s="41">
        <v>2</v>
      </c>
      <c r="P3107" s="41">
        <v>27</v>
      </c>
      <c r="Q3107" s="41">
        <v>11</v>
      </c>
      <c r="R3107" s="41">
        <v>49</v>
      </c>
      <c r="S3107" t="s">
        <v>3321</v>
      </c>
      <c r="AH3107" t="s">
        <v>359</v>
      </c>
    </row>
    <row r="3108" spans="1:34" ht="15.75">
      <c r="A3108" s="29">
        <f t="shared" si="52"/>
        <v>5676</v>
      </c>
      <c r="B3108" s="30">
        <v>555</v>
      </c>
      <c r="C3108" s="30">
        <v>1</v>
      </c>
      <c r="D3108" s="30">
        <v>1817</v>
      </c>
      <c r="E3108">
        <v>11558</v>
      </c>
      <c r="H3108" t="s">
        <v>1541</v>
      </c>
      <c r="I3108" s="30">
        <f>2016+3660</f>
        <v>5676</v>
      </c>
      <c r="J3108" s="30">
        <v>0</v>
      </c>
      <c r="K3108" s="30" t="s">
        <v>884</v>
      </c>
      <c r="L3108" s="43" t="s">
        <v>4427</v>
      </c>
      <c r="P3108" s="41">
        <v>7</v>
      </c>
      <c r="Q3108" s="41">
        <v>2</v>
      </c>
      <c r="R3108" s="41">
        <v>44</v>
      </c>
      <c r="S3108" t="s">
        <v>3321</v>
      </c>
      <c r="AH3108" t="s">
        <v>359</v>
      </c>
    </row>
    <row r="3109" spans="1:34" ht="15.75">
      <c r="A3109" s="29">
        <f t="shared" si="52"/>
        <v>136668</v>
      </c>
      <c r="B3109" s="30">
        <v>555</v>
      </c>
      <c r="C3109" s="30">
        <v>1</v>
      </c>
      <c r="D3109" s="30">
        <v>1817</v>
      </c>
      <c r="E3109">
        <v>11559</v>
      </c>
      <c r="H3109" t="s">
        <v>1541</v>
      </c>
      <c r="I3109" s="30">
        <v>136668</v>
      </c>
      <c r="J3109" s="30">
        <v>0</v>
      </c>
      <c r="K3109" s="30" t="s">
        <v>884</v>
      </c>
      <c r="L3109" s="43" t="s">
        <v>1088</v>
      </c>
      <c r="M3109" s="41" t="s">
        <v>3007</v>
      </c>
      <c r="O3109" s="41" t="s">
        <v>1089</v>
      </c>
      <c r="P3109" s="41">
        <v>21</v>
      </c>
      <c r="Q3109" s="41">
        <v>11</v>
      </c>
      <c r="R3109" s="41">
        <v>42</v>
      </c>
      <c r="S3109" t="s">
        <v>1090</v>
      </c>
      <c r="T3109" t="s">
        <v>1091</v>
      </c>
      <c r="V3109" t="s">
        <v>5355</v>
      </c>
      <c r="AA3109" t="s">
        <v>1092</v>
      </c>
      <c r="AH3109" t="s">
        <v>359</v>
      </c>
    </row>
    <row r="3110" spans="1:34" ht="15.75">
      <c r="A3110" s="29">
        <f t="shared" si="52"/>
        <v>102</v>
      </c>
      <c r="B3110" s="30">
        <v>555</v>
      </c>
      <c r="C3110" s="30">
        <v>1</v>
      </c>
      <c r="D3110" s="30">
        <v>1817</v>
      </c>
      <c r="E3110">
        <v>11560</v>
      </c>
      <c r="H3110" t="s">
        <v>1541</v>
      </c>
      <c r="I3110" s="30">
        <v>102</v>
      </c>
      <c r="J3110" s="30">
        <v>0</v>
      </c>
      <c r="K3110" s="30" t="s">
        <v>884</v>
      </c>
      <c r="L3110" s="43" t="s">
        <v>3360</v>
      </c>
      <c r="P3110" s="41">
        <v>28</v>
      </c>
      <c r="Q3110" s="41">
        <v>3</v>
      </c>
      <c r="R3110" s="41">
        <v>44</v>
      </c>
      <c r="S3110" t="s">
        <v>3321</v>
      </c>
      <c r="AH3110" t="s">
        <v>359</v>
      </c>
    </row>
    <row r="3111" spans="1:34" ht="15.75">
      <c r="A3111" s="29">
        <f t="shared" si="52"/>
        <v>4861</v>
      </c>
      <c r="B3111" s="30">
        <v>555</v>
      </c>
      <c r="C3111" s="30">
        <v>1</v>
      </c>
      <c r="D3111" s="30">
        <v>1817</v>
      </c>
      <c r="E3111">
        <v>11561</v>
      </c>
      <c r="H3111" t="s">
        <v>1540</v>
      </c>
      <c r="I3111" s="30">
        <v>4861</v>
      </c>
      <c r="J3111" s="30">
        <v>0</v>
      </c>
      <c r="K3111" s="30" t="s">
        <v>884</v>
      </c>
      <c r="L3111" s="43" t="s">
        <v>3360</v>
      </c>
      <c r="P3111" s="41">
        <v>13</v>
      </c>
      <c r="Q3111" s="41">
        <v>12</v>
      </c>
      <c r="R3111" s="41" t="s">
        <v>1547</v>
      </c>
      <c r="S3111" t="s">
        <v>1547</v>
      </c>
      <c r="AH3111" t="s">
        <v>359</v>
      </c>
    </row>
    <row r="3112" spans="1:34" ht="15.75">
      <c r="A3112" s="29">
        <f t="shared" si="52"/>
        <v>95</v>
      </c>
      <c r="B3112" s="30">
        <v>555</v>
      </c>
      <c r="C3112" s="30">
        <v>1</v>
      </c>
      <c r="D3112" s="30">
        <v>1817</v>
      </c>
      <c r="E3112">
        <v>11562</v>
      </c>
      <c r="H3112" t="s">
        <v>1541</v>
      </c>
      <c r="I3112" s="30">
        <v>95</v>
      </c>
      <c r="J3112" s="30">
        <v>0</v>
      </c>
      <c r="K3112" s="30" t="s">
        <v>884</v>
      </c>
      <c r="L3112" s="43" t="s">
        <v>3360</v>
      </c>
      <c r="P3112" s="41">
        <v>20</v>
      </c>
      <c r="Q3112" s="41">
        <v>5</v>
      </c>
      <c r="R3112" s="41">
        <v>41</v>
      </c>
      <c r="S3112" t="s">
        <v>3321</v>
      </c>
      <c r="AH3112" t="s">
        <v>359</v>
      </c>
    </row>
    <row r="3113" spans="1:34" ht="15.75">
      <c r="A3113" s="29">
        <f t="shared" si="52"/>
        <v>59892</v>
      </c>
      <c r="B3113" s="30">
        <v>555</v>
      </c>
      <c r="C3113" s="30">
        <v>1</v>
      </c>
      <c r="D3113" s="30">
        <v>1817</v>
      </c>
      <c r="E3113">
        <v>11563</v>
      </c>
      <c r="H3113" t="s">
        <v>1540</v>
      </c>
      <c r="I3113" s="30">
        <f>52900+5592+1400</f>
        <v>59892</v>
      </c>
      <c r="J3113" s="30">
        <v>0</v>
      </c>
      <c r="K3113" s="30" t="s">
        <v>884</v>
      </c>
      <c r="L3113" s="43" t="s">
        <v>1093</v>
      </c>
      <c r="M3113" s="41" t="s">
        <v>1094</v>
      </c>
      <c r="N3113" s="41" t="s">
        <v>368</v>
      </c>
      <c r="O3113" s="41" t="s">
        <v>1095</v>
      </c>
      <c r="P3113" s="41">
        <v>7</v>
      </c>
      <c r="Q3113" s="41">
        <v>6</v>
      </c>
      <c r="R3113" s="41">
        <v>59</v>
      </c>
      <c r="S3113" t="s">
        <v>1096</v>
      </c>
      <c r="T3113" t="s">
        <v>381</v>
      </c>
      <c r="V3113" s="4" t="s">
        <v>1752</v>
      </c>
      <c r="W3113" s="4"/>
      <c r="AA3113" t="s">
        <v>3365</v>
      </c>
      <c r="AH3113" t="s">
        <v>359</v>
      </c>
    </row>
    <row r="3114" spans="1:34" ht="15.75">
      <c r="A3114" s="29">
        <f t="shared" si="52"/>
        <v>50</v>
      </c>
      <c r="B3114" s="30">
        <v>555</v>
      </c>
      <c r="C3114" s="30">
        <v>1</v>
      </c>
      <c r="D3114" s="30">
        <v>1817</v>
      </c>
      <c r="E3114">
        <v>11564</v>
      </c>
      <c r="H3114" t="s">
        <v>1540</v>
      </c>
      <c r="I3114" s="30">
        <v>50</v>
      </c>
      <c r="J3114" s="30">
        <v>0</v>
      </c>
      <c r="K3114" s="30" t="s">
        <v>884</v>
      </c>
      <c r="L3114" s="43" t="s">
        <v>3360</v>
      </c>
      <c r="P3114" s="41">
        <v>13</v>
      </c>
      <c r="Q3114" s="41">
        <v>7</v>
      </c>
      <c r="R3114" s="41">
        <v>76</v>
      </c>
      <c r="S3114" t="s">
        <v>3321</v>
      </c>
      <c r="AH3114" t="s">
        <v>359</v>
      </c>
    </row>
    <row r="3115" spans="1:34" ht="15.75">
      <c r="A3115" s="29">
        <f t="shared" si="52"/>
        <v>192</v>
      </c>
      <c r="B3115" s="30">
        <v>556</v>
      </c>
      <c r="C3115" s="30">
        <v>1</v>
      </c>
      <c r="D3115" s="30">
        <v>1817</v>
      </c>
      <c r="E3115">
        <v>11593</v>
      </c>
      <c r="H3115" t="s">
        <v>1540</v>
      </c>
      <c r="I3115" s="30">
        <v>192</v>
      </c>
      <c r="J3115" s="30">
        <v>0</v>
      </c>
      <c r="K3115" s="30" t="s">
        <v>884</v>
      </c>
      <c r="L3115" s="43" t="s">
        <v>3360</v>
      </c>
      <c r="P3115" s="41">
        <v>2</v>
      </c>
      <c r="Q3115" s="41">
        <v>3</v>
      </c>
      <c r="R3115" s="41">
        <v>45</v>
      </c>
      <c r="S3115" t="s">
        <v>1547</v>
      </c>
      <c r="AH3115" t="s">
        <v>359</v>
      </c>
    </row>
    <row r="3116" spans="1:34" ht="15.75">
      <c r="A3116" s="29">
        <f t="shared" si="52"/>
        <v>1678</v>
      </c>
      <c r="B3116" s="30">
        <v>556</v>
      </c>
      <c r="C3116" s="30">
        <v>1</v>
      </c>
      <c r="D3116" s="30">
        <v>1817</v>
      </c>
      <c r="E3116">
        <v>11594</v>
      </c>
      <c r="H3116" t="s">
        <v>1541</v>
      </c>
      <c r="I3116" s="30">
        <v>1678</v>
      </c>
      <c r="J3116" s="30">
        <v>0</v>
      </c>
      <c r="K3116" s="30" t="s">
        <v>884</v>
      </c>
      <c r="L3116" s="43" t="s">
        <v>3360</v>
      </c>
      <c r="P3116" s="41">
        <v>5</v>
      </c>
      <c r="Q3116" s="41">
        <v>2</v>
      </c>
      <c r="R3116" s="41">
        <v>32</v>
      </c>
      <c r="S3116" t="s">
        <v>884</v>
      </c>
      <c r="AH3116" t="s">
        <v>359</v>
      </c>
    </row>
    <row r="3117" spans="1:34" ht="15.75">
      <c r="A3117" s="29">
        <f t="shared" si="52"/>
        <v>124753</v>
      </c>
      <c r="B3117" s="30">
        <v>556</v>
      </c>
      <c r="C3117" s="30">
        <v>1</v>
      </c>
      <c r="D3117" s="30">
        <v>1817</v>
      </c>
      <c r="E3117">
        <v>11595</v>
      </c>
      <c r="H3117" t="s">
        <v>1540</v>
      </c>
      <c r="I3117" s="30">
        <v>8753</v>
      </c>
      <c r="J3117" s="30">
        <v>5800</v>
      </c>
      <c r="K3117" s="30" t="s">
        <v>884</v>
      </c>
      <c r="L3117" s="43" t="s">
        <v>1097</v>
      </c>
      <c r="M3117" s="41" t="s">
        <v>1098</v>
      </c>
      <c r="N3117" s="41" t="s">
        <v>1555</v>
      </c>
      <c r="O3117" s="41" t="s">
        <v>1099</v>
      </c>
      <c r="P3117" s="41">
        <v>23</v>
      </c>
      <c r="Q3117" s="41">
        <v>4</v>
      </c>
      <c r="R3117" s="41">
        <v>62</v>
      </c>
      <c r="S3117" t="s">
        <v>1547</v>
      </c>
      <c r="T3117" t="s">
        <v>3366</v>
      </c>
      <c r="V3117" t="s">
        <v>5525</v>
      </c>
      <c r="X3117">
        <v>1</v>
      </c>
      <c r="Y3117" t="s">
        <v>1099</v>
      </c>
      <c r="AA3117" t="s">
        <v>3445</v>
      </c>
      <c r="AH3117" t="s">
        <v>359</v>
      </c>
    </row>
    <row r="3118" spans="1:34" ht="15.75">
      <c r="A3118" s="29">
        <f t="shared" si="52"/>
        <v>1610</v>
      </c>
      <c r="B3118" s="30">
        <v>556</v>
      </c>
      <c r="C3118" s="30">
        <v>1</v>
      </c>
      <c r="D3118" s="30">
        <v>1817</v>
      </c>
      <c r="E3118">
        <v>11596</v>
      </c>
      <c r="H3118" t="s">
        <v>1540</v>
      </c>
      <c r="I3118" s="30">
        <v>1610</v>
      </c>
      <c r="J3118" s="30">
        <v>0</v>
      </c>
      <c r="K3118" s="30" t="s">
        <v>884</v>
      </c>
      <c r="L3118" s="43" t="s">
        <v>3360</v>
      </c>
      <c r="P3118" s="41">
        <v>28</v>
      </c>
      <c r="Q3118" s="41">
        <v>9</v>
      </c>
      <c r="R3118" s="41">
        <v>83</v>
      </c>
      <c r="S3118" t="s">
        <v>1547</v>
      </c>
      <c r="AH3118" t="s">
        <v>359</v>
      </c>
    </row>
    <row r="3119" spans="1:34" ht="15.75">
      <c r="A3119" s="29">
        <f t="shared" si="52"/>
        <v>408</v>
      </c>
      <c r="B3119" s="30">
        <v>556</v>
      </c>
      <c r="C3119" s="30">
        <v>1</v>
      </c>
      <c r="D3119" s="30">
        <v>1817</v>
      </c>
      <c r="E3119">
        <v>11597</v>
      </c>
      <c r="H3119" t="s">
        <v>1541</v>
      </c>
      <c r="I3119" s="30">
        <v>408</v>
      </c>
      <c r="J3119" s="30">
        <v>0</v>
      </c>
      <c r="K3119" s="30" t="s">
        <v>884</v>
      </c>
      <c r="L3119" s="43" t="s">
        <v>3360</v>
      </c>
      <c r="P3119" s="41">
        <v>29</v>
      </c>
      <c r="Q3119" s="41">
        <v>12</v>
      </c>
      <c r="R3119" s="41">
        <v>68</v>
      </c>
      <c r="S3119" t="s">
        <v>3321</v>
      </c>
      <c r="AH3119" t="s">
        <v>359</v>
      </c>
    </row>
    <row r="3120" spans="1:34" ht="15.75">
      <c r="A3120" s="29">
        <f t="shared" si="52"/>
        <v>18926</v>
      </c>
      <c r="B3120" s="31">
        <v>556</v>
      </c>
      <c r="C3120" s="31">
        <v>1</v>
      </c>
      <c r="D3120" s="31">
        <v>1817</v>
      </c>
      <c r="E3120">
        <v>11599</v>
      </c>
      <c r="F3120" s="9"/>
      <c r="G3120" s="9"/>
      <c r="H3120" s="9" t="s">
        <v>1541</v>
      </c>
      <c r="I3120" s="31">
        <f>18176+750</f>
        <v>18926</v>
      </c>
      <c r="J3120" s="31">
        <v>0</v>
      </c>
      <c r="K3120" s="30" t="s">
        <v>884</v>
      </c>
      <c r="L3120" s="43" t="s">
        <v>1107</v>
      </c>
      <c r="M3120" s="41" t="s">
        <v>1108</v>
      </c>
      <c r="O3120" s="41" t="s">
        <v>1109</v>
      </c>
      <c r="P3120" s="41">
        <v>11</v>
      </c>
      <c r="Q3120" s="41">
        <v>10</v>
      </c>
      <c r="S3120" t="s">
        <v>1110</v>
      </c>
      <c r="T3120" t="s">
        <v>1111</v>
      </c>
      <c r="V3120" t="s">
        <v>1112</v>
      </c>
      <c r="AH3120" t="s">
        <v>359</v>
      </c>
    </row>
    <row r="3121" spans="1:34" ht="15.75">
      <c r="A3121" s="29">
        <f t="shared" si="52"/>
        <v>2505</v>
      </c>
      <c r="B3121" s="30">
        <v>556</v>
      </c>
      <c r="C3121" s="30">
        <v>1</v>
      </c>
      <c r="D3121" s="30">
        <v>1817</v>
      </c>
      <c r="E3121">
        <v>11600</v>
      </c>
      <c r="H3121" t="s">
        <v>1540</v>
      </c>
      <c r="I3121" s="30">
        <f>2355+150</f>
        <v>2505</v>
      </c>
      <c r="J3121" s="30">
        <v>0</v>
      </c>
      <c r="K3121" s="30" t="s">
        <v>884</v>
      </c>
      <c r="L3121" s="43" t="s">
        <v>3360</v>
      </c>
      <c r="P3121" s="41">
        <v>6</v>
      </c>
      <c r="Q3121" s="41">
        <v>5</v>
      </c>
      <c r="R3121" s="41">
        <v>51</v>
      </c>
      <c r="S3121" t="s">
        <v>3321</v>
      </c>
      <c r="AH3121" t="s">
        <v>359</v>
      </c>
    </row>
    <row r="3122" spans="1:34" ht="15.75">
      <c r="A3122" s="29">
        <f t="shared" si="52"/>
        <v>630</v>
      </c>
      <c r="B3122" s="30">
        <v>556</v>
      </c>
      <c r="C3122" s="30">
        <v>1</v>
      </c>
      <c r="D3122" s="30">
        <v>1817</v>
      </c>
      <c r="E3122">
        <v>11601</v>
      </c>
      <c r="H3122" t="s">
        <v>1540</v>
      </c>
      <c r="I3122" s="30">
        <v>630</v>
      </c>
      <c r="J3122" s="30">
        <v>0</v>
      </c>
      <c r="K3122" s="30" t="s">
        <v>884</v>
      </c>
      <c r="L3122" s="43" t="s">
        <v>5707</v>
      </c>
      <c r="P3122" s="41">
        <v>3</v>
      </c>
      <c r="Q3122" s="41">
        <v>9</v>
      </c>
      <c r="R3122" s="41" t="s">
        <v>1547</v>
      </c>
      <c r="S3122" t="s">
        <v>1547</v>
      </c>
      <c r="AH3122" t="s">
        <v>359</v>
      </c>
    </row>
    <row r="3123" spans="1:34" ht="15.75">
      <c r="A3123" s="29">
        <f t="shared" si="52"/>
        <v>386</v>
      </c>
      <c r="B3123" s="30">
        <v>556</v>
      </c>
      <c r="C3123" s="30">
        <v>1</v>
      </c>
      <c r="D3123" s="30">
        <v>1817</v>
      </c>
      <c r="E3123">
        <v>11603</v>
      </c>
      <c r="H3123" t="s">
        <v>1541</v>
      </c>
      <c r="I3123" s="30">
        <v>386</v>
      </c>
      <c r="J3123" s="30">
        <v>0</v>
      </c>
      <c r="K3123" s="30" t="s">
        <v>884</v>
      </c>
      <c r="AH3123" t="s">
        <v>359</v>
      </c>
    </row>
    <row r="3124" spans="1:34" ht="15.75">
      <c r="A3124" s="29">
        <f t="shared" si="52"/>
        <v>1500</v>
      </c>
      <c r="B3124" s="30">
        <v>557</v>
      </c>
      <c r="C3124" s="30">
        <v>1</v>
      </c>
      <c r="D3124" s="30">
        <v>1817</v>
      </c>
      <c r="E3124">
        <v>11658</v>
      </c>
      <c r="H3124" t="s">
        <v>1541</v>
      </c>
      <c r="I3124" s="30">
        <v>1500</v>
      </c>
      <c r="J3124" s="30">
        <v>0</v>
      </c>
      <c r="K3124" s="30" t="s">
        <v>884</v>
      </c>
      <c r="L3124" s="43" t="s">
        <v>5708</v>
      </c>
      <c r="P3124" s="41">
        <v>1</v>
      </c>
      <c r="Q3124" s="41">
        <v>9</v>
      </c>
      <c r="R3124" s="41">
        <v>59</v>
      </c>
      <c r="S3124" t="s">
        <v>3321</v>
      </c>
      <c r="AH3124" t="s">
        <v>359</v>
      </c>
    </row>
    <row r="3125" spans="1:34" ht="15.75">
      <c r="A3125" s="29">
        <f t="shared" si="52"/>
        <v>155</v>
      </c>
      <c r="B3125" s="30">
        <v>557</v>
      </c>
      <c r="C3125" s="30">
        <v>1</v>
      </c>
      <c r="D3125" s="30">
        <v>1817</v>
      </c>
      <c r="E3125">
        <v>11659</v>
      </c>
      <c r="H3125" t="s">
        <v>1540</v>
      </c>
      <c r="I3125" s="30">
        <v>155</v>
      </c>
      <c r="J3125" s="30">
        <v>0</v>
      </c>
      <c r="K3125" s="30" t="s">
        <v>884</v>
      </c>
      <c r="L3125" s="43" t="s">
        <v>1337</v>
      </c>
      <c r="P3125" s="41">
        <v>9</v>
      </c>
      <c r="Q3125" s="41">
        <v>5</v>
      </c>
      <c r="R3125" s="41">
        <v>66</v>
      </c>
      <c r="S3125" t="s">
        <v>3321</v>
      </c>
      <c r="AH3125" t="s">
        <v>359</v>
      </c>
    </row>
    <row r="3126" spans="1:34" ht="15.75">
      <c r="A3126" s="29">
        <f t="shared" si="52"/>
        <v>32567</v>
      </c>
      <c r="B3126" s="30">
        <v>557</v>
      </c>
      <c r="C3126" s="30">
        <v>1</v>
      </c>
      <c r="D3126" s="30">
        <v>1817</v>
      </c>
      <c r="E3126">
        <v>11661</v>
      </c>
      <c r="H3126" t="s">
        <v>1541</v>
      </c>
      <c r="I3126" s="30">
        <v>2567</v>
      </c>
      <c r="J3126" s="30">
        <v>3000</v>
      </c>
      <c r="K3126" s="30" t="s">
        <v>884</v>
      </c>
      <c r="L3126" s="43" t="s">
        <v>1120</v>
      </c>
      <c r="M3126" s="41" t="s">
        <v>1699</v>
      </c>
      <c r="N3126" s="41" t="s">
        <v>4212</v>
      </c>
      <c r="O3126" s="41" t="s">
        <v>1121</v>
      </c>
      <c r="P3126" s="41">
        <v>18</v>
      </c>
      <c r="Q3126" s="41">
        <v>4</v>
      </c>
      <c r="S3126" t="s">
        <v>3329</v>
      </c>
      <c r="T3126" t="s">
        <v>1310</v>
      </c>
      <c r="V3126" t="s">
        <v>5816</v>
      </c>
      <c r="X3126">
        <v>0.5</v>
      </c>
      <c r="Y3126" t="s">
        <v>1121</v>
      </c>
      <c r="AH3126" t="s">
        <v>359</v>
      </c>
    </row>
    <row r="3127" spans="1:34" ht="15.75">
      <c r="A3127" s="29">
        <f t="shared" si="52"/>
        <v>97</v>
      </c>
      <c r="B3127" s="30">
        <v>557</v>
      </c>
      <c r="C3127" s="30">
        <v>1</v>
      </c>
      <c r="D3127" s="30">
        <v>1817</v>
      </c>
      <c r="E3127">
        <v>11662</v>
      </c>
      <c r="H3127" t="s">
        <v>1541</v>
      </c>
      <c r="I3127" s="30">
        <v>97</v>
      </c>
      <c r="J3127" s="30">
        <v>0</v>
      </c>
      <c r="K3127" s="30" t="s">
        <v>884</v>
      </c>
      <c r="L3127" s="43" t="s">
        <v>5710</v>
      </c>
      <c r="P3127" s="41">
        <v>22</v>
      </c>
      <c r="Q3127" s="41">
        <v>8</v>
      </c>
      <c r="R3127" s="41">
        <v>88</v>
      </c>
      <c r="S3127" t="s">
        <v>1547</v>
      </c>
      <c r="AH3127" t="s">
        <v>359</v>
      </c>
    </row>
    <row r="3128" spans="1:34" ht="15.75">
      <c r="A3128" s="29">
        <f t="shared" si="52"/>
        <v>100</v>
      </c>
      <c r="B3128" s="30">
        <v>557</v>
      </c>
      <c r="C3128" s="30">
        <v>1</v>
      </c>
      <c r="D3128" s="30">
        <v>1817</v>
      </c>
      <c r="E3128">
        <v>11663</v>
      </c>
      <c r="H3128" t="s">
        <v>1541</v>
      </c>
      <c r="I3128" s="30">
        <v>100</v>
      </c>
      <c r="J3128" s="30">
        <v>0</v>
      </c>
      <c r="K3128" s="30" t="s">
        <v>884</v>
      </c>
      <c r="L3128" s="43" t="s">
        <v>5710</v>
      </c>
      <c r="P3128" s="41">
        <v>31</v>
      </c>
      <c r="Q3128" s="41">
        <v>8</v>
      </c>
      <c r="R3128" s="41">
        <v>33</v>
      </c>
      <c r="S3128" t="s">
        <v>874</v>
      </c>
      <c r="AH3128" t="s">
        <v>359</v>
      </c>
    </row>
    <row r="3129" spans="1:34" ht="15.75">
      <c r="A3129" s="29">
        <f t="shared" si="52"/>
        <v>379</v>
      </c>
      <c r="B3129" s="30">
        <v>557</v>
      </c>
      <c r="C3129" s="30">
        <v>1</v>
      </c>
      <c r="D3129" s="30">
        <v>1817</v>
      </c>
      <c r="E3129">
        <v>11664</v>
      </c>
      <c r="H3129" t="s">
        <v>1540</v>
      </c>
      <c r="I3129" s="30">
        <v>379</v>
      </c>
      <c r="J3129" s="30">
        <v>0</v>
      </c>
      <c r="K3129" s="30" t="s">
        <v>884</v>
      </c>
      <c r="L3129" s="43" t="s">
        <v>5710</v>
      </c>
      <c r="P3129" s="41">
        <v>12</v>
      </c>
      <c r="Q3129" s="41">
        <v>4</v>
      </c>
      <c r="R3129" s="41" t="s">
        <v>1547</v>
      </c>
      <c r="S3129" t="s">
        <v>874</v>
      </c>
      <c r="AH3129" t="s">
        <v>359</v>
      </c>
    </row>
    <row r="3130" spans="1:34" ht="15.75">
      <c r="A3130" s="29">
        <f t="shared" si="52"/>
        <v>629</v>
      </c>
      <c r="B3130" s="30">
        <v>557</v>
      </c>
      <c r="C3130" s="30">
        <v>1</v>
      </c>
      <c r="D3130" s="30">
        <v>1817</v>
      </c>
      <c r="E3130">
        <v>11665</v>
      </c>
      <c r="H3130" t="s">
        <v>1540</v>
      </c>
      <c r="I3130" s="30">
        <v>629</v>
      </c>
      <c r="J3130" s="30">
        <v>0</v>
      </c>
      <c r="K3130" s="30" t="s">
        <v>884</v>
      </c>
      <c r="L3130" s="43" t="s">
        <v>5710</v>
      </c>
      <c r="P3130" s="41">
        <v>28</v>
      </c>
      <c r="Q3130" s="41">
        <v>11</v>
      </c>
      <c r="R3130" s="41">
        <v>70</v>
      </c>
      <c r="S3130" t="s">
        <v>3321</v>
      </c>
      <c r="AH3130" t="s">
        <v>359</v>
      </c>
    </row>
    <row r="3131" spans="1:34" ht="15.75">
      <c r="A3131" s="29">
        <f t="shared" si="52"/>
        <v>90523</v>
      </c>
      <c r="B3131" s="30">
        <v>557</v>
      </c>
      <c r="C3131" s="30">
        <v>1</v>
      </c>
      <c r="D3131" s="30">
        <v>1817</v>
      </c>
      <c r="E3131">
        <v>11666</v>
      </c>
      <c r="H3131" t="s">
        <v>1540</v>
      </c>
      <c r="I3131" s="30">
        <f>1543+3480</f>
        <v>5023</v>
      </c>
      <c r="J3131" s="30">
        <f>171000/20</f>
        <v>8550</v>
      </c>
      <c r="K3131" s="30" t="s">
        <v>884</v>
      </c>
      <c r="L3131" s="43" t="s">
        <v>3368</v>
      </c>
      <c r="M3131" s="41" t="s">
        <v>3369</v>
      </c>
      <c r="N3131" s="41" t="s">
        <v>1555</v>
      </c>
      <c r="O3131" s="41" t="s">
        <v>1122</v>
      </c>
      <c r="P3131" s="41">
        <v>26</v>
      </c>
      <c r="Q3131" s="41">
        <v>1</v>
      </c>
      <c r="R3131" s="41">
        <v>81</v>
      </c>
      <c r="S3131" t="s">
        <v>1123</v>
      </c>
      <c r="T3131" t="s">
        <v>2974</v>
      </c>
      <c r="V3131" t="s">
        <v>4985</v>
      </c>
      <c r="X3131">
        <v>0.5</v>
      </c>
      <c r="Y3131" t="s">
        <v>1122</v>
      </c>
      <c r="AH3131" t="s">
        <v>359</v>
      </c>
    </row>
    <row r="3132" spans="1:34" ht="15.75">
      <c r="A3132" s="29">
        <f t="shared" si="52"/>
        <v>3758</v>
      </c>
      <c r="B3132" s="30">
        <v>557</v>
      </c>
      <c r="C3132" s="30">
        <v>1</v>
      </c>
      <c r="D3132" s="30">
        <v>1817</v>
      </c>
      <c r="E3132">
        <v>11667</v>
      </c>
      <c r="H3132" t="s">
        <v>1540</v>
      </c>
      <c r="I3132" s="30">
        <f>3083+675</f>
        <v>3758</v>
      </c>
      <c r="J3132" s="30">
        <v>0</v>
      </c>
      <c r="K3132" s="30" t="s">
        <v>884</v>
      </c>
      <c r="L3132" s="43" t="s">
        <v>5711</v>
      </c>
      <c r="P3132" s="41">
        <v>28</v>
      </c>
      <c r="Q3132" s="41">
        <v>11</v>
      </c>
      <c r="R3132" s="41">
        <v>43</v>
      </c>
      <c r="S3132" t="s">
        <v>3321</v>
      </c>
      <c r="AH3132" t="s">
        <v>359</v>
      </c>
    </row>
    <row r="3133" spans="1:34" ht="15.75">
      <c r="A3133" s="29">
        <f t="shared" si="52"/>
        <v>333</v>
      </c>
      <c r="B3133" s="30">
        <v>557</v>
      </c>
      <c r="C3133" s="30">
        <v>1</v>
      </c>
      <c r="D3133" s="30">
        <v>1817</v>
      </c>
      <c r="E3133">
        <v>11669</v>
      </c>
      <c r="H3133" t="s">
        <v>1541</v>
      </c>
      <c r="I3133" s="30">
        <v>333</v>
      </c>
      <c r="J3133" s="30">
        <v>0</v>
      </c>
      <c r="K3133" s="30" t="s">
        <v>884</v>
      </c>
      <c r="L3133" s="43" t="s">
        <v>5712</v>
      </c>
      <c r="P3133" s="41">
        <v>5</v>
      </c>
      <c r="Q3133" s="41">
        <v>11</v>
      </c>
      <c r="R3133" s="41" t="s">
        <v>1547</v>
      </c>
      <c r="S3133" t="s">
        <v>1547</v>
      </c>
      <c r="AH3133" t="s">
        <v>359</v>
      </c>
    </row>
    <row r="3134" spans="1:34" ht="15.75">
      <c r="A3134" s="39">
        <f t="shared" si="52"/>
        <v>616</v>
      </c>
      <c r="B3134" s="30">
        <v>557</v>
      </c>
      <c r="C3134" s="30">
        <v>1</v>
      </c>
      <c r="D3134" s="30">
        <v>1817</v>
      </c>
      <c r="E3134">
        <v>11670</v>
      </c>
      <c r="H3134" t="s">
        <v>1540</v>
      </c>
      <c r="I3134" s="30">
        <v>616</v>
      </c>
      <c r="J3134" s="30">
        <v>0</v>
      </c>
      <c r="K3134" s="30" t="s">
        <v>884</v>
      </c>
      <c r="L3134" s="43" t="s">
        <v>5713</v>
      </c>
      <c r="P3134" s="41">
        <v>10</v>
      </c>
      <c r="Q3134" s="41">
        <v>4</v>
      </c>
      <c r="R3134" s="41">
        <v>65</v>
      </c>
      <c r="S3134" t="s">
        <v>3321</v>
      </c>
      <c r="AH3134" t="s">
        <v>359</v>
      </c>
    </row>
    <row r="3135" spans="1:34" ht="15.75">
      <c r="A3135" s="29">
        <f t="shared" si="52"/>
        <v>4787</v>
      </c>
      <c r="B3135" s="30">
        <v>557</v>
      </c>
      <c r="C3135" s="30">
        <v>1</v>
      </c>
      <c r="D3135" s="30">
        <v>1817</v>
      </c>
      <c r="E3135">
        <v>11672</v>
      </c>
      <c r="H3135" t="s">
        <v>1540</v>
      </c>
      <c r="I3135" s="30">
        <f>4047+740</f>
        <v>4787</v>
      </c>
      <c r="J3135" s="30">
        <v>0</v>
      </c>
      <c r="K3135" s="30" t="s">
        <v>884</v>
      </c>
      <c r="L3135" s="43" t="s">
        <v>5714</v>
      </c>
      <c r="P3135" s="41">
        <v>5</v>
      </c>
      <c r="Q3135" s="41">
        <v>6</v>
      </c>
      <c r="R3135" s="41">
        <v>63</v>
      </c>
      <c r="S3135" t="s">
        <v>3321</v>
      </c>
      <c r="AH3135" t="s">
        <v>359</v>
      </c>
    </row>
    <row r="3136" spans="1:34" ht="15.75">
      <c r="A3136" s="29">
        <f t="shared" si="52"/>
        <v>2378</v>
      </c>
      <c r="B3136" s="30">
        <v>557</v>
      </c>
      <c r="C3136" s="30">
        <v>1</v>
      </c>
      <c r="D3136" s="30">
        <v>1817</v>
      </c>
      <c r="E3136">
        <v>11673</v>
      </c>
      <c r="H3136" t="s">
        <v>1541</v>
      </c>
      <c r="I3136" s="30">
        <v>2378</v>
      </c>
      <c r="J3136" s="30">
        <v>0</v>
      </c>
      <c r="K3136" s="30" t="s">
        <v>884</v>
      </c>
      <c r="L3136" s="43" t="s">
        <v>5714</v>
      </c>
      <c r="P3136" s="41">
        <v>4</v>
      </c>
      <c r="Q3136" s="41">
        <v>6</v>
      </c>
      <c r="R3136" s="41" t="s">
        <v>1547</v>
      </c>
      <c r="S3136" t="s">
        <v>1547</v>
      </c>
      <c r="AH3136" t="s">
        <v>359</v>
      </c>
    </row>
    <row r="3137" spans="1:34" ht="15.75">
      <c r="A3137" s="29">
        <f t="shared" si="52"/>
        <v>354284</v>
      </c>
      <c r="B3137" s="30">
        <v>557</v>
      </c>
      <c r="C3137" s="30">
        <v>1</v>
      </c>
      <c r="D3137" s="30">
        <v>1817</v>
      </c>
      <c r="E3137">
        <v>11674</v>
      </c>
      <c r="H3137" t="s">
        <v>1540</v>
      </c>
      <c r="I3137" s="30">
        <f>181914+83870+50000</f>
        <v>315784</v>
      </c>
      <c r="J3137" s="30">
        <f>3250+600</f>
        <v>3850</v>
      </c>
      <c r="K3137" s="30" t="s">
        <v>884</v>
      </c>
      <c r="L3137" s="43" t="s">
        <v>1728</v>
      </c>
      <c r="M3137" s="41" t="s">
        <v>3371</v>
      </c>
      <c r="N3137" s="41" t="s">
        <v>4004</v>
      </c>
      <c r="O3137" s="41" t="s">
        <v>1047</v>
      </c>
      <c r="P3137" s="41">
        <v>1</v>
      </c>
      <c r="Q3137" s="41">
        <v>7</v>
      </c>
      <c r="R3137" s="41">
        <v>59</v>
      </c>
      <c r="S3137" t="s">
        <v>3321</v>
      </c>
      <c r="T3137" t="s">
        <v>4736</v>
      </c>
      <c r="V3137" t="s">
        <v>4737</v>
      </c>
      <c r="X3137">
        <v>0.5</v>
      </c>
      <c r="Y3137" t="s">
        <v>2355</v>
      </c>
      <c r="AA3137" t="s">
        <v>0</v>
      </c>
      <c r="AH3137" t="s">
        <v>359</v>
      </c>
    </row>
    <row r="3138" spans="1:34" ht="15.75">
      <c r="A3138" s="29">
        <f t="shared" si="52"/>
        <v>95</v>
      </c>
      <c r="B3138" s="30">
        <v>557</v>
      </c>
      <c r="C3138" s="30">
        <v>1</v>
      </c>
      <c r="D3138" s="30">
        <v>1817</v>
      </c>
      <c r="E3138">
        <v>11675</v>
      </c>
      <c r="H3138" t="s">
        <v>1541</v>
      </c>
      <c r="I3138" s="30">
        <v>95</v>
      </c>
      <c r="J3138" s="30">
        <v>0</v>
      </c>
      <c r="K3138" s="30" t="s">
        <v>884</v>
      </c>
      <c r="L3138" s="43" t="s">
        <v>5714</v>
      </c>
      <c r="P3138" s="41">
        <v>20</v>
      </c>
      <c r="Q3138" s="41">
        <v>10</v>
      </c>
      <c r="R3138" s="41">
        <v>34</v>
      </c>
      <c r="S3138" t="s">
        <v>3321</v>
      </c>
      <c r="AH3138" t="s">
        <v>359</v>
      </c>
    </row>
    <row r="3139" spans="1:34" ht="15.75">
      <c r="A3139" s="29">
        <f t="shared" si="52"/>
        <v>1923</v>
      </c>
      <c r="B3139" s="30">
        <v>557</v>
      </c>
      <c r="C3139" s="30">
        <v>1</v>
      </c>
      <c r="D3139" s="30">
        <v>1817</v>
      </c>
      <c r="E3139">
        <v>11676</v>
      </c>
      <c r="H3139" t="s">
        <v>1541</v>
      </c>
      <c r="I3139" s="30">
        <v>1923</v>
      </c>
      <c r="J3139" s="30">
        <v>0</v>
      </c>
      <c r="K3139" s="30" t="s">
        <v>884</v>
      </c>
      <c r="L3139" s="43" t="s">
        <v>5788</v>
      </c>
      <c r="P3139" s="41">
        <v>25</v>
      </c>
      <c r="Q3139" s="41">
        <v>7</v>
      </c>
      <c r="R3139" s="41">
        <v>86</v>
      </c>
      <c r="S3139" t="s">
        <v>1547</v>
      </c>
      <c r="AH3139" t="s">
        <v>359</v>
      </c>
    </row>
    <row r="3140" spans="1:34" ht="15.75">
      <c r="A3140" s="29">
        <f t="shared" si="52"/>
        <v>1041</v>
      </c>
      <c r="B3140" s="30">
        <v>557</v>
      </c>
      <c r="C3140" s="30">
        <v>1</v>
      </c>
      <c r="D3140" s="30">
        <v>1817</v>
      </c>
      <c r="E3140">
        <v>11677</v>
      </c>
      <c r="H3140" t="s">
        <v>1540</v>
      </c>
      <c r="I3140" s="30">
        <v>1041</v>
      </c>
      <c r="J3140" s="30">
        <v>0</v>
      </c>
      <c r="K3140" s="30" t="s">
        <v>884</v>
      </c>
      <c r="L3140" s="43" t="s">
        <v>5715</v>
      </c>
      <c r="P3140" s="41">
        <v>5</v>
      </c>
      <c r="Q3140" s="41">
        <v>9</v>
      </c>
      <c r="R3140" s="41">
        <v>33</v>
      </c>
      <c r="S3140" t="s">
        <v>1547</v>
      </c>
      <c r="AH3140" t="s">
        <v>359</v>
      </c>
    </row>
    <row r="3141" spans="1:34" ht="15.75">
      <c r="A3141" s="29">
        <f t="shared" si="52"/>
        <v>17239</v>
      </c>
      <c r="B3141" s="31">
        <v>558</v>
      </c>
      <c r="C3141" s="31">
        <v>1</v>
      </c>
      <c r="D3141" s="31">
        <v>1817</v>
      </c>
      <c r="E3141">
        <v>11693</v>
      </c>
      <c r="F3141" s="9"/>
      <c r="G3141" s="9"/>
      <c r="H3141" s="9" t="s">
        <v>1540</v>
      </c>
      <c r="I3141" s="31">
        <v>3919</v>
      </c>
      <c r="J3141" s="31">
        <v>666</v>
      </c>
      <c r="K3141" s="30" t="s">
        <v>864</v>
      </c>
      <c r="L3141" s="43" t="s">
        <v>5715</v>
      </c>
      <c r="M3141" s="41">
        <v>2</v>
      </c>
      <c r="P3141" s="41">
        <v>20</v>
      </c>
      <c r="Q3141" s="41">
        <v>8</v>
      </c>
      <c r="R3141" s="41" t="s">
        <v>1547</v>
      </c>
      <c r="S3141" t="s">
        <v>1547</v>
      </c>
      <c r="X3141">
        <v>1</v>
      </c>
      <c r="Y3141" t="s">
        <v>1</v>
      </c>
      <c r="AH3141" t="s">
        <v>359</v>
      </c>
    </row>
    <row r="3142" spans="1:34" ht="15.75">
      <c r="A3142" s="29">
        <f t="shared" si="52"/>
        <v>2319</v>
      </c>
      <c r="B3142" s="30">
        <v>558</v>
      </c>
      <c r="C3142" s="30">
        <v>1</v>
      </c>
      <c r="D3142" s="30">
        <v>1817</v>
      </c>
      <c r="E3142">
        <v>11694</v>
      </c>
      <c r="H3142" t="s">
        <v>1541</v>
      </c>
      <c r="I3142" s="30">
        <v>2319</v>
      </c>
      <c r="J3142" s="30">
        <v>0</v>
      </c>
      <c r="K3142" s="30" t="s">
        <v>864</v>
      </c>
      <c r="L3142" s="43" t="s">
        <v>5716</v>
      </c>
      <c r="P3142" s="41">
        <v>25</v>
      </c>
      <c r="Q3142" s="41">
        <v>3</v>
      </c>
      <c r="R3142" s="41">
        <v>74</v>
      </c>
      <c r="S3142" t="s">
        <v>3321</v>
      </c>
      <c r="AH3142" t="s">
        <v>359</v>
      </c>
    </row>
    <row r="3143" spans="1:34" ht="15.75">
      <c r="A3143" s="29">
        <f t="shared" si="52"/>
        <v>5591</v>
      </c>
      <c r="B3143" s="30">
        <v>558</v>
      </c>
      <c r="C3143" s="30"/>
      <c r="D3143" s="30"/>
      <c r="E3143">
        <v>11695</v>
      </c>
      <c r="H3143" t="s">
        <v>1549</v>
      </c>
      <c r="I3143" s="30">
        <v>5591</v>
      </c>
      <c r="J3143" s="30">
        <v>0</v>
      </c>
      <c r="K3143" s="30" t="s">
        <v>884</v>
      </c>
      <c r="L3143" s="43" t="s">
        <v>1335</v>
      </c>
      <c r="P3143" s="41">
        <v>9</v>
      </c>
      <c r="Q3143" s="41">
        <v>10</v>
      </c>
      <c r="R3143" s="41">
        <v>62</v>
      </c>
      <c r="S3143" t="s">
        <v>3321</v>
      </c>
      <c r="AH3143" t="s">
        <v>359</v>
      </c>
    </row>
    <row r="3144" spans="1:34" ht="15.75">
      <c r="A3144" s="29">
        <f t="shared" si="52"/>
        <v>30016</v>
      </c>
      <c r="B3144" s="30">
        <v>558</v>
      </c>
      <c r="C3144" s="30">
        <v>1</v>
      </c>
      <c r="D3144" s="30">
        <v>1817</v>
      </c>
      <c r="E3144">
        <v>11696</v>
      </c>
      <c r="H3144" t="s">
        <v>1541</v>
      </c>
      <c r="I3144" s="30">
        <v>30016</v>
      </c>
      <c r="J3144" s="30">
        <v>0</v>
      </c>
      <c r="K3144" s="30" t="s">
        <v>864</v>
      </c>
      <c r="L3144" s="43" t="s">
        <v>2</v>
      </c>
      <c r="M3144" s="41" t="s">
        <v>2976</v>
      </c>
      <c r="N3144" s="41" t="s">
        <v>1555</v>
      </c>
      <c r="O3144" s="41" t="s">
        <v>5393</v>
      </c>
      <c r="P3144" s="41">
        <v>27</v>
      </c>
      <c r="Q3144" s="41">
        <v>1</v>
      </c>
      <c r="R3144" s="41">
        <v>77</v>
      </c>
      <c r="S3144" t="s">
        <v>3</v>
      </c>
      <c r="T3144" t="s">
        <v>4929</v>
      </c>
      <c r="V3144" t="s">
        <v>2727</v>
      </c>
      <c r="AH3144" t="s">
        <v>359</v>
      </c>
    </row>
    <row r="3145" spans="1:34" ht="15.75">
      <c r="A3145" s="29">
        <f t="shared" si="52"/>
        <v>540</v>
      </c>
      <c r="B3145" s="30">
        <v>558</v>
      </c>
      <c r="C3145" s="30">
        <v>1</v>
      </c>
      <c r="D3145" s="30">
        <v>1817</v>
      </c>
      <c r="E3145">
        <v>11697</v>
      </c>
      <c r="H3145" t="s">
        <v>1541</v>
      </c>
      <c r="I3145" s="30">
        <v>540</v>
      </c>
      <c r="J3145" s="30">
        <v>0</v>
      </c>
      <c r="K3145" s="30" t="s">
        <v>864</v>
      </c>
      <c r="L3145" s="43" t="s">
        <v>5717</v>
      </c>
      <c r="P3145" s="41">
        <v>7</v>
      </c>
      <c r="Q3145" s="41">
        <v>10</v>
      </c>
      <c r="R3145" s="41">
        <v>47</v>
      </c>
      <c r="S3145" t="s">
        <v>3321</v>
      </c>
      <c r="AH3145" t="s">
        <v>359</v>
      </c>
    </row>
    <row r="3146" spans="1:34" ht="15.75">
      <c r="A3146" s="29">
        <f t="shared" si="52"/>
        <v>8696</v>
      </c>
      <c r="B3146" s="30">
        <v>558</v>
      </c>
      <c r="C3146" s="30">
        <v>1</v>
      </c>
      <c r="D3146" s="30">
        <v>1817</v>
      </c>
      <c r="E3146">
        <v>11698</v>
      </c>
      <c r="H3146" t="s">
        <v>1541</v>
      </c>
      <c r="I3146" s="30">
        <f>8430+266</f>
        <v>8696</v>
      </c>
      <c r="J3146" s="30">
        <v>0</v>
      </c>
      <c r="K3146" s="30" t="s">
        <v>864</v>
      </c>
      <c r="L3146" s="43" t="s">
        <v>5718</v>
      </c>
      <c r="P3146" s="41">
        <v>17</v>
      </c>
      <c r="Q3146" s="41">
        <v>3</v>
      </c>
      <c r="S3146" t="s">
        <v>3321</v>
      </c>
      <c r="AH3146" t="s">
        <v>359</v>
      </c>
    </row>
    <row r="3147" spans="1:34" ht="15.75">
      <c r="A3147" s="29">
        <f t="shared" si="52"/>
        <v>53</v>
      </c>
      <c r="B3147" s="30">
        <v>558</v>
      </c>
      <c r="C3147" s="30">
        <v>1</v>
      </c>
      <c r="D3147" s="30">
        <v>1817</v>
      </c>
      <c r="E3147">
        <v>11699</v>
      </c>
      <c r="H3147" t="s">
        <v>1540</v>
      </c>
      <c r="I3147" s="30">
        <v>53</v>
      </c>
      <c r="J3147" s="30">
        <v>0</v>
      </c>
      <c r="K3147" s="30" t="s">
        <v>864</v>
      </c>
      <c r="L3147" s="43" t="s">
        <v>967</v>
      </c>
      <c r="P3147" s="41">
        <v>1</v>
      </c>
      <c r="Q3147" s="41">
        <v>8</v>
      </c>
      <c r="R3147" s="41">
        <v>56</v>
      </c>
      <c r="S3147" t="s">
        <v>3321</v>
      </c>
      <c r="AH3147" t="s">
        <v>359</v>
      </c>
    </row>
    <row r="3148" spans="1:34" ht="15.75">
      <c r="A3148" s="29">
        <f t="shared" si="52"/>
        <v>146</v>
      </c>
      <c r="B3148" s="30">
        <v>558</v>
      </c>
      <c r="C3148" s="30">
        <v>1</v>
      </c>
      <c r="D3148" s="30">
        <v>1817</v>
      </c>
      <c r="E3148">
        <v>11700</v>
      </c>
      <c r="H3148" t="s">
        <v>1540</v>
      </c>
      <c r="I3148" s="30">
        <v>146</v>
      </c>
      <c r="J3148" s="30">
        <v>0</v>
      </c>
      <c r="K3148" s="30" t="s">
        <v>864</v>
      </c>
      <c r="L3148" s="43" t="s">
        <v>967</v>
      </c>
      <c r="P3148" s="41">
        <v>7</v>
      </c>
      <c r="Q3148" s="41">
        <v>8</v>
      </c>
      <c r="R3148" s="41">
        <v>22</v>
      </c>
      <c r="S3148" t="s">
        <v>1547</v>
      </c>
      <c r="AH3148" t="s">
        <v>359</v>
      </c>
    </row>
    <row r="3149" spans="1:34" ht="15.75">
      <c r="A3149" s="29">
        <f t="shared" si="52"/>
        <v>59289</v>
      </c>
      <c r="B3149" s="30">
        <v>558</v>
      </c>
      <c r="C3149" s="30">
        <v>1</v>
      </c>
      <c r="D3149" s="30">
        <v>1817</v>
      </c>
      <c r="E3149">
        <v>11701</v>
      </c>
      <c r="H3149" t="s">
        <v>1541</v>
      </c>
      <c r="I3149" s="30">
        <v>59289</v>
      </c>
      <c r="J3149" s="30">
        <v>0</v>
      </c>
      <c r="K3149" s="30" t="s">
        <v>864</v>
      </c>
      <c r="L3149" s="43" t="s">
        <v>4</v>
      </c>
      <c r="M3149" s="41" t="s">
        <v>5</v>
      </c>
      <c r="O3149" s="41" t="s">
        <v>6</v>
      </c>
      <c r="P3149" s="41">
        <v>2</v>
      </c>
      <c r="Q3149" s="41">
        <v>5</v>
      </c>
      <c r="R3149" s="41">
        <v>2</v>
      </c>
      <c r="S3149" t="s">
        <v>3343</v>
      </c>
      <c r="T3149" t="s">
        <v>7</v>
      </c>
      <c r="V3149" t="s">
        <v>3446</v>
      </c>
      <c r="AH3149" t="s">
        <v>359</v>
      </c>
    </row>
    <row r="3150" spans="1:34" ht="15.75">
      <c r="A3150" s="29">
        <f t="shared" si="52"/>
        <v>60</v>
      </c>
      <c r="B3150" s="30">
        <v>558</v>
      </c>
      <c r="C3150" s="30">
        <v>1</v>
      </c>
      <c r="D3150" s="30">
        <v>1817</v>
      </c>
      <c r="E3150">
        <v>11702</v>
      </c>
      <c r="H3150" t="s">
        <v>1540</v>
      </c>
      <c r="I3150" s="30">
        <v>60</v>
      </c>
      <c r="J3150" s="30">
        <v>0</v>
      </c>
      <c r="K3150" s="30" t="s">
        <v>864</v>
      </c>
      <c r="L3150" s="43" t="s">
        <v>970</v>
      </c>
      <c r="P3150" s="41">
        <v>27</v>
      </c>
      <c r="Q3150" s="41">
        <v>1</v>
      </c>
      <c r="R3150" s="41">
        <v>72</v>
      </c>
      <c r="S3150" t="s">
        <v>3321</v>
      </c>
      <c r="AH3150" t="s">
        <v>359</v>
      </c>
    </row>
    <row r="3151" spans="1:34" ht="15.75">
      <c r="A3151" s="29">
        <f t="shared" si="52"/>
        <v>23</v>
      </c>
      <c r="B3151" s="30">
        <v>558</v>
      </c>
      <c r="C3151" s="30">
        <v>1</v>
      </c>
      <c r="D3151" s="30">
        <v>1817</v>
      </c>
      <c r="E3151">
        <v>11703</v>
      </c>
      <c r="H3151" t="s">
        <v>1540</v>
      </c>
      <c r="I3151" s="30">
        <v>23</v>
      </c>
      <c r="J3151" s="30">
        <v>0</v>
      </c>
      <c r="K3151" s="30" t="s">
        <v>864</v>
      </c>
      <c r="L3151" s="43" t="s">
        <v>970</v>
      </c>
      <c r="P3151" s="41">
        <v>6</v>
      </c>
      <c r="Q3151" s="41">
        <v>2</v>
      </c>
      <c r="R3151" s="41">
        <v>46</v>
      </c>
      <c r="S3151" t="s">
        <v>3321</v>
      </c>
      <c r="AH3151" t="s">
        <v>359</v>
      </c>
    </row>
    <row r="3152" spans="1:34" ht="15.75">
      <c r="A3152" s="29">
        <f t="shared" si="52"/>
        <v>48</v>
      </c>
      <c r="B3152" s="30">
        <v>558</v>
      </c>
      <c r="C3152" s="30">
        <v>1</v>
      </c>
      <c r="D3152" s="30">
        <v>1817</v>
      </c>
      <c r="E3152">
        <v>11705</v>
      </c>
      <c r="H3152" t="s">
        <v>1540</v>
      </c>
      <c r="I3152" s="30">
        <v>48</v>
      </c>
      <c r="J3152" s="30">
        <v>0</v>
      </c>
      <c r="K3152" s="30" t="s">
        <v>864</v>
      </c>
      <c r="L3152" s="43" t="s">
        <v>5722</v>
      </c>
      <c r="P3152" s="41">
        <v>8</v>
      </c>
      <c r="Q3152" s="41">
        <v>4</v>
      </c>
      <c r="R3152" s="41">
        <v>62</v>
      </c>
      <c r="S3152" t="s">
        <v>3321</v>
      </c>
      <c r="AH3152" t="s">
        <v>359</v>
      </c>
    </row>
    <row r="3153" spans="1:34" ht="15.75">
      <c r="A3153" s="29">
        <f t="shared" si="52"/>
        <v>1107</v>
      </c>
      <c r="B3153" s="30">
        <v>559</v>
      </c>
      <c r="C3153" s="30">
        <v>1</v>
      </c>
      <c r="D3153" s="30">
        <v>1817</v>
      </c>
      <c r="E3153">
        <v>11736</v>
      </c>
      <c r="H3153" t="s">
        <v>1540</v>
      </c>
      <c r="I3153" s="30">
        <v>1107</v>
      </c>
      <c r="J3153" s="30">
        <v>0</v>
      </c>
      <c r="K3153" s="30" t="s">
        <v>864</v>
      </c>
      <c r="L3153" s="43" t="s">
        <v>5720</v>
      </c>
      <c r="P3153" s="41">
        <v>29</v>
      </c>
      <c r="Q3153" s="41">
        <v>7</v>
      </c>
      <c r="R3153" s="41">
        <v>74</v>
      </c>
      <c r="S3153" t="s">
        <v>3321</v>
      </c>
      <c r="AH3153" t="s">
        <v>359</v>
      </c>
    </row>
    <row r="3154" spans="1:34" ht="15.75">
      <c r="A3154" s="29">
        <f t="shared" si="52"/>
        <v>44558</v>
      </c>
      <c r="B3154" s="30">
        <v>559</v>
      </c>
      <c r="C3154" s="30">
        <v>1</v>
      </c>
      <c r="D3154" s="30">
        <v>1817</v>
      </c>
      <c r="E3154">
        <v>11737</v>
      </c>
      <c r="H3154" t="s">
        <v>1541</v>
      </c>
      <c r="I3154" s="30">
        <v>44558</v>
      </c>
      <c r="J3154" s="30">
        <v>0</v>
      </c>
      <c r="K3154" s="30" t="s">
        <v>864</v>
      </c>
      <c r="L3154" s="43" t="s">
        <v>16</v>
      </c>
      <c r="M3154" s="41" t="s">
        <v>17</v>
      </c>
      <c r="O3154" s="41" t="s">
        <v>18</v>
      </c>
      <c r="P3154" s="41">
        <v>2</v>
      </c>
      <c r="Q3154" s="41">
        <v>1</v>
      </c>
      <c r="S3154" t="s">
        <v>20</v>
      </c>
      <c r="T3154" t="s">
        <v>21</v>
      </c>
      <c r="U3154" t="s">
        <v>19</v>
      </c>
      <c r="V3154" t="s">
        <v>22</v>
      </c>
      <c r="AH3154" t="s">
        <v>359</v>
      </c>
    </row>
    <row r="3155" spans="1:34" ht="15.75">
      <c r="A3155" s="29">
        <f aca="true" t="shared" si="53" ref="A3155:A3218">I3155+J3155*20*X3155</f>
        <v>152</v>
      </c>
      <c r="B3155" s="30">
        <v>559</v>
      </c>
      <c r="C3155" s="30">
        <v>1</v>
      </c>
      <c r="D3155" s="30">
        <v>1817</v>
      </c>
      <c r="E3155">
        <v>11738</v>
      </c>
      <c r="H3155" t="s">
        <v>1541</v>
      </c>
      <c r="I3155" s="30">
        <v>152</v>
      </c>
      <c r="J3155" s="30">
        <v>0</v>
      </c>
      <c r="K3155" s="30" t="s">
        <v>864</v>
      </c>
      <c r="L3155" s="43" t="s">
        <v>1396</v>
      </c>
      <c r="P3155" s="41">
        <v>7</v>
      </c>
      <c r="Q3155" s="41">
        <v>2</v>
      </c>
      <c r="R3155" s="41">
        <v>66</v>
      </c>
      <c r="S3155" t="s">
        <v>3321</v>
      </c>
      <c r="AH3155" t="s">
        <v>359</v>
      </c>
    </row>
    <row r="3156" spans="1:34" ht="15.75">
      <c r="A3156" s="29">
        <f t="shared" si="53"/>
        <v>2400</v>
      </c>
      <c r="B3156" s="30">
        <v>559</v>
      </c>
      <c r="C3156" s="30">
        <v>1</v>
      </c>
      <c r="D3156" s="30">
        <v>1817</v>
      </c>
      <c r="E3156">
        <v>11739</v>
      </c>
      <c r="H3156" t="s">
        <v>1541</v>
      </c>
      <c r="I3156" s="30">
        <v>2400</v>
      </c>
      <c r="J3156" s="30">
        <v>0</v>
      </c>
      <c r="K3156" s="30" t="s">
        <v>864</v>
      </c>
      <c r="L3156" s="43" t="s">
        <v>1396</v>
      </c>
      <c r="P3156" s="41">
        <v>15</v>
      </c>
      <c r="Q3156" s="41">
        <v>8</v>
      </c>
      <c r="R3156" s="41">
        <v>40</v>
      </c>
      <c r="S3156" t="s">
        <v>3321</v>
      </c>
      <c r="AH3156" t="s">
        <v>359</v>
      </c>
    </row>
    <row r="3157" spans="1:34" ht="15.75">
      <c r="A3157" s="29">
        <f t="shared" si="53"/>
        <v>325</v>
      </c>
      <c r="B3157" s="30">
        <v>559</v>
      </c>
      <c r="C3157" s="30">
        <v>1</v>
      </c>
      <c r="D3157" s="30">
        <v>1817</v>
      </c>
      <c r="E3157">
        <v>11740</v>
      </c>
      <c r="H3157" t="s">
        <v>1541</v>
      </c>
      <c r="I3157" s="30">
        <v>325</v>
      </c>
      <c r="J3157" s="30">
        <v>0</v>
      </c>
      <c r="K3157" s="30" t="s">
        <v>864</v>
      </c>
      <c r="L3157" s="43" t="s">
        <v>1396</v>
      </c>
      <c r="P3157" s="41">
        <v>16</v>
      </c>
      <c r="Q3157" s="41">
        <v>11</v>
      </c>
      <c r="R3157" s="41">
        <v>38</v>
      </c>
      <c r="S3157" t="s">
        <v>1547</v>
      </c>
      <c r="AH3157" t="s">
        <v>359</v>
      </c>
    </row>
    <row r="3158" spans="1:34" ht="15.75">
      <c r="A3158" s="29">
        <f t="shared" si="53"/>
        <v>1425</v>
      </c>
      <c r="B3158" s="30">
        <v>559</v>
      </c>
      <c r="C3158" s="30">
        <v>1</v>
      </c>
      <c r="D3158" s="30">
        <v>1817</v>
      </c>
      <c r="E3158">
        <v>11741</v>
      </c>
      <c r="H3158" t="s">
        <v>1541</v>
      </c>
      <c r="I3158" s="30">
        <v>1425</v>
      </c>
      <c r="J3158" s="30">
        <v>0</v>
      </c>
      <c r="K3158" s="30" t="s">
        <v>864</v>
      </c>
      <c r="L3158" s="43" t="s">
        <v>3674</v>
      </c>
      <c r="P3158" s="41">
        <v>16</v>
      </c>
      <c r="Q3158" s="41">
        <v>5</v>
      </c>
      <c r="R3158" s="41">
        <v>57</v>
      </c>
      <c r="S3158" t="s">
        <v>3321</v>
      </c>
      <c r="AH3158" t="s">
        <v>359</v>
      </c>
    </row>
    <row r="3159" spans="1:34" ht="15.75">
      <c r="A3159" s="29">
        <f t="shared" si="53"/>
        <v>73343</v>
      </c>
      <c r="B3159" s="30">
        <v>559</v>
      </c>
      <c r="C3159" s="30">
        <v>1</v>
      </c>
      <c r="D3159" s="30">
        <v>1817</v>
      </c>
      <c r="E3159">
        <v>11742</v>
      </c>
      <c r="H3159" t="s">
        <v>1540</v>
      </c>
      <c r="I3159" s="30">
        <v>73343</v>
      </c>
      <c r="J3159" s="30">
        <v>0</v>
      </c>
      <c r="K3159" s="30" t="s">
        <v>864</v>
      </c>
      <c r="L3159" s="43" t="s">
        <v>23</v>
      </c>
      <c r="M3159" s="41" t="s">
        <v>3137</v>
      </c>
      <c r="N3159" s="41" t="s">
        <v>3144</v>
      </c>
      <c r="O3159" s="41" t="s">
        <v>24</v>
      </c>
      <c r="P3159" s="41">
        <v>14</v>
      </c>
      <c r="Q3159" s="41">
        <v>1</v>
      </c>
      <c r="R3159" s="41">
        <v>42</v>
      </c>
      <c r="S3159" t="s">
        <v>1547</v>
      </c>
      <c r="T3159" t="s">
        <v>3366</v>
      </c>
      <c r="V3159" t="s">
        <v>3373</v>
      </c>
      <c r="AH3159" t="s">
        <v>359</v>
      </c>
    </row>
    <row r="3160" spans="1:34" ht="15.75">
      <c r="A3160" s="29">
        <f t="shared" si="53"/>
        <v>194</v>
      </c>
      <c r="B3160" s="30">
        <v>559</v>
      </c>
      <c r="C3160" s="30">
        <v>1</v>
      </c>
      <c r="D3160" s="30">
        <v>1817</v>
      </c>
      <c r="E3160">
        <v>11743</v>
      </c>
      <c r="H3160" t="s">
        <v>1540</v>
      </c>
      <c r="I3160" s="30">
        <f>44+150</f>
        <v>194</v>
      </c>
      <c r="J3160" s="30">
        <v>0</v>
      </c>
      <c r="K3160" s="30" t="s">
        <v>864</v>
      </c>
      <c r="L3160" s="43" t="s">
        <v>717</v>
      </c>
      <c r="P3160" s="41">
        <v>6</v>
      </c>
      <c r="Q3160" s="41">
        <v>5</v>
      </c>
      <c r="R3160" s="41">
        <v>62</v>
      </c>
      <c r="S3160" t="s">
        <v>3321</v>
      </c>
      <c r="AH3160" t="s">
        <v>359</v>
      </c>
    </row>
    <row r="3161" spans="1:34" ht="15.75">
      <c r="A3161" s="29">
        <f t="shared" si="53"/>
        <v>181727</v>
      </c>
      <c r="B3161" s="30">
        <v>559</v>
      </c>
      <c r="C3161" s="30">
        <v>1</v>
      </c>
      <c r="D3161" s="30">
        <v>1817</v>
      </c>
      <c r="E3161">
        <v>11744</v>
      </c>
      <c r="H3161" t="s">
        <v>1540</v>
      </c>
      <c r="I3161" s="30">
        <f>177977+3750</f>
        <v>181727</v>
      </c>
      <c r="J3161" s="30">
        <v>0</v>
      </c>
      <c r="K3161" s="30" t="s">
        <v>864</v>
      </c>
      <c r="L3161" s="43" t="s">
        <v>25</v>
      </c>
      <c r="M3161" s="41" t="s">
        <v>26</v>
      </c>
      <c r="N3161" s="41" t="s">
        <v>27</v>
      </c>
      <c r="O3161" s="41" t="s">
        <v>28</v>
      </c>
      <c r="P3161" s="41">
        <v>17</v>
      </c>
      <c r="Q3161" s="41">
        <v>8</v>
      </c>
      <c r="R3161" s="41">
        <v>75</v>
      </c>
      <c r="S3161" t="s">
        <v>29</v>
      </c>
      <c r="T3161" t="s">
        <v>30</v>
      </c>
      <c r="V3161" t="s">
        <v>3374</v>
      </c>
      <c r="AH3161" t="s">
        <v>359</v>
      </c>
    </row>
    <row r="3162" spans="1:34" ht="15.75">
      <c r="A3162" s="29">
        <f t="shared" si="53"/>
        <v>198</v>
      </c>
      <c r="B3162" s="30">
        <v>559</v>
      </c>
      <c r="C3162" s="30">
        <v>1</v>
      </c>
      <c r="D3162" s="30">
        <v>1817</v>
      </c>
      <c r="E3162">
        <v>11745</v>
      </c>
      <c r="H3162" t="s">
        <v>1540</v>
      </c>
      <c r="I3162" s="30">
        <v>198</v>
      </c>
      <c r="J3162" s="30">
        <v>0</v>
      </c>
      <c r="K3162" s="30" t="s">
        <v>864</v>
      </c>
      <c r="L3162" s="43" t="s">
        <v>5722</v>
      </c>
      <c r="P3162" s="41">
        <v>1</v>
      </c>
      <c r="Q3162" s="41">
        <v>11</v>
      </c>
      <c r="R3162" s="41">
        <v>1817</v>
      </c>
      <c r="S3162" t="s">
        <v>1547</v>
      </c>
      <c r="AH3162" t="s">
        <v>359</v>
      </c>
    </row>
    <row r="3163" spans="1:34" ht="15.75">
      <c r="A3163" s="29">
        <f t="shared" si="53"/>
        <v>31611</v>
      </c>
      <c r="B3163" s="30">
        <v>559</v>
      </c>
      <c r="C3163" s="30">
        <v>1</v>
      </c>
      <c r="D3163" s="30">
        <v>1817</v>
      </c>
      <c r="E3163">
        <v>11746</v>
      </c>
      <c r="H3163" t="s">
        <v>1541</v>
      </c>
      <c r="I3163" s="30">
        <v>31611</v>
      </c>
      <c r="J3163" s="30">
        <v>0</v>
      </c>
      <c r="K3163" s="30" t="s">
        <v>864</v>
      </c>
      <c r="L3163" s="43" t="s">
        <v>31</v>
      </c>
      <c r="M3163" s="41" t="s">
        <v>3111</v>
      </c>
      <c r="O3163" s="41" t="s">
        <v>32</v>
      </c>
      <c r="P3163" s="41">
        <v>10</v>
      </c>
      <c r="Q3163" s="41">
        <v>10</v>
      </c>
      <c r="R3163" s="41">
        <v>44</v>
      </c>
      <c r="S3163" t="s">
        <v>33</v>
      </c>
      <c r="T3163" t="s">
        <v>4649</v>
      </c>
      <c r="V3163" t="s">
        <v>34</v>
      </c>
      <c r="AH3163" t="s">
        <v>359</v>
      </c>
    </row>
    <row r="3164" spans="1:34" ht="15.75">
      <c r="A3164" s="29">
        <f t="shared" si="53"/>
        <v>3414</v>
      </c>
      <c r="B3164" s="30">
        <v>559</v>
      </c>
      <c r="C3164" s="30">
        <v>1</v>
      </c>
      <c r="D3164" s="30">
        <v>1817</v>
      </c>
      <c r="E3164">
        <v>11747</v>
      </c>
      <c r="H3164" t="s">
        <v>1540</v>
      </c>
      <c r="I3164" s="30">
        <v>1104</v>
      </c>
      <c r="J3164" s="30">
        <v>350</v>
      </c>
      <c r="K3164" s="30" t="s">
        <v>864</v>
      </c>
      <c r="L3164" s="43" t="s">
        <v>5722</v>
      </c>
      <c r="P3164" s="41">
        <v>22</v>
      </c>
      <c r="Q3164" s="41">
        <v>8</v>
      </c>
      <c r="R3164" s="41" t="s">
        <v>1547</v>
      </c>
      <c r="S3164" t="s">
        <v>1547</v>
      </c>
      <c r="X3164">
        <v>0.33</v>
      </c>
      <c r="Y3164" t="s">
        <v>35</v>
      </c>
      <c r="AH3164" t="s">
        <v>359</v>
      </c>
    </row>
    <row r="3165" spans="1:34" ht="15.75">
      <c r="A3165" s="29">
        <f t="shared" si="53"/>
        <v>32</v>
      </c>
      <c r="B3165" s="30">
        <v>559</v>
      </c>
      <c r="C3165" s="30">
        <v>1</v>
      </c>
      <c r="D3165" s="30">
        <v>1817</v>
      </c>
      <c r="E3165">
        <v>11748</v>
      </c>
      <c r="H3165" t="s">
        <v>850</v>
      </c>
      <c r="I3165" s="30">
        <v>32</v>
      </c>
      <c r="J3165" s="30">
        <v>0</v>
      </c>
      <c r="K3165" s="30" t="s">
        <v>864</v>
      </c>
      <c r="L3165" s="43" t="s">
        <v>5722</v>
      </c>
      <c r="P3165" s="41">
        <v>7</v>
      </c>
      <c r="Q3165" s="41">
        <v>9</v>
      </c>
      <c r="R3165" s="41">
        <v>63</v>
      </c>
      <c r="S3165" t="s">
        <v>1547</v>
      </c>
      <c r="AG3165" t="s">
        <v>2702</v>
      </c>
      <c r="AH3165" t="s">
        <v>359</v>
      </c>
    </row>
    <row r="3166" spans="1:34" ht="15.75">
      <c r="A3166" s="29">
        <f t="shared" si="53"/>
        <v>68000</v>
      </c>
      <c r="B3166" s="30">
        <v>559</v>
      </c>
      <c r="C3166" s="30">
        <v>1</v>
      </c>
      <c r="D3166" s="30">
        <v>1817</v>
      </c>
      <c r="E3166">
        <v>11749</v>
      </c>
      <c r="H3166" t="s">
        <v>1549</v>
      </c>
      <c r="I3166" s="30">
        <v>0</v>
      </c>
      <c r="J3166" s="30">
        <v>3400</v>
      </c>
      <c r="K3166" s="30" t="s">
        <v>864</v>
      </c>
      <c r="L3166" s="43" t="s">
        <v>36</v>
      </c>
      <c r="M3166" s="41" t="s">
        <v>1075</v>
      </c>
      <c r="N3166" s="41" t="s">
        <v>1555</v>
      </c>
      <c r="O3166" s="41" t="s">
        <v>37</v>
      </c>
      <c r="P3166" s="41">
        <v>9</v>
      </c>
      <c r="Q3166" s="41">
        <v>2</v>
      </c>
      <c r="R3166" s="41" t="s">
        <v>1547</v>
      </c>
      <c r="S3166" t="s">
        <v>38</v>
      </c>
      <c r="T3166" t="s">
        <v>39</v>
      </c>
      <c r="V3166" t="s">
        <v>40</v>
      </c>
      <c r="X3166">
        <v>1</v>
      </c>
      <c r="Y3166" t="s">
        <v>41</v>
      </c>
      <c r="AH3166" t="s">
        <v>359</v>
      </c>
    </row>
    <row r="3167" spans="1:34" ht="15.75">
      <c r="A3167" s="29">
        <f t="shared" si="53"/>
        <v>94</v>
      </c>
      <c r="B3167" s="30">
        <v>559</v>
      </c>
      <c r="C3167" s="30">
        <v>1</v>
      </c>
      <c r="D3167" s="30">
        <v>1817</v>
      </c>
      <c r="E3167">
        <v>11750</v>
      </c>
      <c r="H3167" t="s">
        <v>1549</v>
      </c>
      <c r="I3167" s="30">
        <v>94</v>
      </c>
      <c r="J3167" s="30">
        <v>0</v>
      </c>
      <c r="K3167" s="30" t="s">
        <v>864</v>
      </c>
      <c r="L3167" s="43" t="s">
        <v>5724</v>
      </c>
      <c r="P3167" s="41">
        <v>12</v>
      </c>
      <c r="Q3167" s="41">
        <v>7</v>
      </c>
      <c r="R3167" s="41">
        <v>68</v>
      </c>
      <c r="S3167" t="s">
        <v>3321</v>
      </c>
      <c r="AH3167" t="s">
        <v>359</v>
      </c>
    </row>
    <row r="3168" spans="1:34" ht="15.75">
      <c r="A3168" s="29">
        <f t="shared" si="53"/>
        <v>7774</v>
      </c>
      <c r="B3168" s="30">
        <v>559</v>
      </c>
      <c r="C3168" s="30">
        <v>1</v>
      </c>
      <c r="D3168" s="30">
        <v>1817</v>
      </c>
      <c r="E3168">
        <v>11751</v>
      </c>
      <c r="H3168" t="s">
        <v>1549</v>
      </c>
      <c r="I3168" s="30">
        <v>7774</v>
      </c>
      <c r="J3168" s="30">
        <v>0</v>
      </c>
      <c r="K3168" s="30" t="s">
        <v>864</v>
      </c>
      <c r="L3168" s="43" t="s">
        <v>5724</v>
      </c>
      <c r="P3168" s="41">
        <v>8</v>
      </c>
      <c r="Q3168" s="41">
        <v>11</v>
      </c>
      <c r="R3168" s="41">
        <v>45</v>
      </c>
      <c r="S3168" t="s">
        <v>3321</v>
      </c>
      <c r="AH3168" t="s">
        <v>359</v>
      </c>
    </row>
    <row r="3169" spans="1:34" ht="15.75">
      <c r="A3169" s="29">
        <f t="shared" si="53"/>
        <v>91</v>
      </c>
      <c r="B3169" s="30">
        <v>559</v>
      </c>
      <c r="C3169" s="30">
        <v>1</v>
      </c>
      <c r="D3169" s="30">
        <v>1817</v>
      </c>
      <c r="E3169">
        <v>11752</v>
      </c>
      <c r="H3169" t="s">
        <v>1549</v>
      </c>
      <c r="I3169" s="30">
        <v>91</v>
      </c>
      <c r="J3169" s="30">
        <v>0</v>
      </c>
      <c r="K3169" s="30" t="s">
        <v>864</v>
      </c>
      <c r="L3169" s="43" t="s">
        <v>5725</v>
      </c>
      <c r="P3169" s="41">
        <v>15</v>
      </c>
      <c r="Q3169" s="41">
        <v>6</v>
      </c>
      <c r="R3169" s="41">
        <v>70</v>
      </c>
      <c r="S3169" t="s">
        <v>4947</v>
      </c>
      <c r="AH3169" t="s">
        <v>359</v>
      </c>
    </row>
    <row r="3170" spans="1:34" ht="15.75">
      <c r="A3170" s="39">
        <f t="shared" si="53"/>
        <v>3994</v>
      </c>
      <c r="B3170" s="30">
        <v>559</v>
      </c>
      <c r="C3170" s="30">
        <v>1</v>
      </c>
      <c r="D3170" s="30">
        <v>1817</v>
      </c>
      <c r="E3170">
        <v>11753</v>
      </c>
      <c r="H3170" t="s">
        <v>1549</v>
      </c>
      <c r="I3170" s="30">
        <f>2664+343+987</f>
        <v>3994</v>
      </c>
      <c r="J3170" s="30">
        <v>0</v>
      </c>
      <c r="K3170" s="30" t="s">
        <v>864</v>
      </c>
      <c r="L3170" s="43" t="s">
        <v>532</v>
      </c>
      <c r="P3170" s="41">
        <v>3</v>
      </c>
      <c r="Q3170" s="41">
        <v>4</v>
      </c>
      <c r="R3170" s="41">
        <v>72</v>
      </c>
      <c r="S3170" t="s">
        <v>3321</v>
      </c>
      <c r="AH3170" t="s">
        <v>359</v>
      </c>
    </row>
    <row r="3171" spans="1:34" ht="15.75">
      <c r="A3171" s="29">
        <f t="shared" si="53"/>
        <v>7270</v>
      </c>
      <c r="B3171" s="30">
        <v>560</v>
      </c>
      <c r="C3171" s="30">
        <v>1</v>
      </c>
      <c r="D3171" s="30">
        <v>1817</v>
      </c>
      <c r="E3171">
        <v>11754</v>
      </c>
      <c r="H3171" t="s">
        <v>1540</v>
      </c>
      <c r="I3171" s="30">
        <v>7270</v>
      </c>
      <c r="J3171" s="30">
        <v>0</v>
      </c>
      <c r="K3171" s="30" t="s">
        <v>864</v>
      </c>
      <c r="L3171" s="43" t="s">
        <v>5726</v>
      </c>
      <c r="P3171" s="41">
        <v>17</v>
      </c>
      <c r="Q3171" s="41">
        <v>2</v>
      </c>
      <c r="R3171" s="41" t="s">
        <v>1547</v>
      </c>
      <c r="S3171" t="s">
        <v>3321</v>
      </c>
      <c r="AH3171" t="s">
        <v>359</v>
      </c>
    </row>
    <row r="3172" spans="1:34" ht="15.75">
      <c r="A3172" s="29">
        <f t="shared" si="53"/>
        <v>0</v>
      </c>
      <c r="B3172" s="30">
        <v>560</v>
      </c>
      <c r="C3172" s="30"/>
      <c r="D3172" s="30"/>
      <c r="E3172">
        <v>11755</v>
      </c>
      <c r="H3172" t="s">
        <v>1549</v>
      </c>
      <c r="I3172" s="30"/>
      <c r="J3172" s="30"/>
      <c r="K3172" s="30" t="s">
        <v>864</v>
      </c>
      <c r="L3172" s="43" t="s">
        <v>5727</v>
      </c>
      <c r="P3172" s="41">
        <v>27</v>
      </c>
      <c r="Q3172" s="41">
        <v>3</v>
      </c>
      <c r="R3172" s="41">
        <v>65</v>
      </c>
      <c r="S3172" t="s">
        <v>1547</v>
      </c>
      <c r="AH3172" t="s">
        <v>359</v>
      </c>
    </row>
    <row r="3173" spans="1:34" ht="15.75">
      <c r="A3173" s="29">
        <f t="shared" si="53"/>
        <v>16668</v>
      </c>
      <c r="B3173" s="31">
        <v>560</v>
      </c>
      <c r="C3173" s="31">
        <v>1</v>
      </c>
      <c r="D3173" s="31">
        <v>1817</v>
      </c>
      <c r="E3173">
        <v>11756</v>
      </c>
      <c r="F3173" s="9"/>
      <c r="G3173" s="9"/>
      <c r="H3173" s="9" t="s">
        <v>1541</v>
      </c>
      <c r="I3173" s="31">
        <v>6168</v>
      </c>
      <c r="J3173" s="31">
        <f>550+500</f>
        <v>1050</v>
      </c>
      <c r="K3173" s="30" t="s">
        <v>864</v>
      </c>
      <c r="L3173" s="43" t="s">
        <v>3521</v>
      </c>
      <c r="M3173" s="43" t="s">
        <v>1043</v>
      </c>
      <c r="N3173" s="41" t="s">
        <v>4212</v>
      </c>
      <c r="O3173" s="41" t="s">
        <v>42</v>
      </c>
      <c r="P3173" s="41">
        <v>24</v>
      </c>
      <c r="Q3173" s="41">
        <v>1</v>
      </c>
      <c r="R3173" s="41">
        <v>79</v>
      </c>
      <c r="S3173" t="s">
        <v>3329</v>
      </c>
      <c r="T3173" t="s">
        <v>365</v>
      </c>
      <c r="X3173">
        <v>0.5</v>
      </c>
      <c r="Y3173" t="s">
        <v>43</v>
      </c>
      <c r="AH3173" t="s">
        <v>359</v>
      </c>
    </row>
    <row r="3174" spans="1:34" ht="15.75">
      <c r="A3174" s="29">
        <f t="shared" si="53"/>
        <v>750</v>
      </c>
      <c r="B3174" s="30">
        <v>560</v>
      </c>
      <c r="C3174" s="30">
        <v>1</v>
      </c>
      <c r="D3174" s="30">
        <v>1817</v>
      </c>
      <c r="E3174">
        <v>11758</v>
      </c>
      <c r="H3174" t="s">
        <v>1540</v>
      </c>
      <c r="I3174" s="30">
        <v>750</v>
      </c>
      <c r="J3174" s="30">
        <v>0</v>
      </c>
      <c r="K3174" s="30" t="s">
        <v>864</v>
      </c>
      <c r="L3174" s="43" t="s">
        <v>5727</v>
      </c>
      <c r="P3174" s="41">
        <v>24</v>
      </c>
      <c r="Q3174" s="41">
        <v>5</v>
      </c>
      <c r="R3174" s="41">
        <v>45</v>
      </c>
      <c r="S3174" t="s">
        <v>3321</v>
      </c>
      <c r="AH3174" t="s">
        <v>359</v>
      </c>
    </row>
    <row r="3175" spans="1:34" ht="15.75">
      <c r="A3175" s="29">
        <f t="shared" si="53"/>
        <v>41215</v>
      </c>
      <c r="B3175" s="30">
        <v>560</v>
      </c>
      <c r="C3175" s="30">
        <v>1</v>
      </c>
      <c r="D3175" s="30">
        <v>1817</v>
      </c>
      <c r="E3175">
        <v>11759</v>
      </c>
      <c r="H3175" t="s">
        <v>1541</v>
      </c>
      <c r="I3175" s="30">
        <v>41215</v>
      </c>
      <c r="J3175" s="30">
        <v>0</v>
      </c>
      <c r="K3175" s="30" t="s">
        <v>864</v>
      </c>
      <c r="L3175" s="43" t="s">
        <v>46</v>
      </c>
      <c r="M3175" s="41" t="s">
        <v>47</v>
      </c>
      <c r="N3175" s="41" t="s">
        <v>1555</v>
      </c>
      <c r="O3175" s="41" t="s">
        <v>48</v>
      </c>
      <c r="P3175" s="41">
        <v>1</v>
      </c>
      <c r="Q3175" s="41">
        <v>7</v>
      </c>
      <c r="R3175" s="41">
        <v>31</v>
      </c>
      <c r="S3175" t="s">
        <v>49</v>
      </c>
      <c r="T3175" t="s">
        <v>39</v>
      </c>
      <c r="V3175" t="s">
        <v>721</v>
      </c>
      <c r="AH3175" t="s">
        <v>359</v>
      </c>
    </row>
    <row r="3176" spans="1:34" ht="15.75">
      <c r="A3176" s="29">
        <f t="shared" si="53"/>
        <v>286</v>
      </c>
      <c r="B3176" s="30">
        <v>560</v>
      </c>
      <c r="C3176" s="30">
        <v>1</v>
      </c>
      <c r="D3176" s="30">
        <v>1817</v>
      </c>
      <c r="E3176">
        <v>11760</v>
      </c>
      <c r="H3176" t="s">
        <v>1540</v>
      </c>
      <c r="I3176" s="30">
        <v>286</v>
      </c>
      <c r="J3176" s="30">
        <v>0</v>
      </c>
      <c r="K3176" s="30" t="s">
        <v>864</v>
      </c>
      <c r="L3176" s="43" t="s">
        <v>5728</v>
      </c>
      <c r="P3176" s="41">
        <v>18</v>
      </c>
      <c r="Q3176" s="41">
        <v>1</v>
      </c>
      <c r="R3176" s="41">
        <v>83</v>
      </c>
      <c r="S3176" t="s">
        <v>3321</v>
      </c>
      <c r="AH3176" t="s">
        <v>359</v>
      </c>
    </row>
    <row r="3177" spans="1:34" ht="15.75">
      <c r="A3177" s="29">
        <f t="shared" si="53"/>
        <v>11748</v>
      </c>
      <c r="B3177" s="30">
        <v>560</v>
      </c>
      <c r="C3177" s="30">
        <v>1</v>
      </c>
      <c r="D3177" s="30">
        <v>1817</v>
      </c>
      <c r="E3177">
        <v>11761</v>
      </c>
      <c r="H3177" t="s">
        <v>1540</v>
      </c>
      <c r="I3177" s="30">
        <v>11748</v>
      </c>
      <c r="J3177" s="30">
        <v>0</v>
      </c>
      <c r="K3177" s="30" t="s">
        <v>864</v>
      </c>
      <c r="L3177" s="43" t="s">
        <v>50</v>
      </c>
      <c r="P3177" s="41">
        <v>16</v>
      </c>
      <c r="Q3177" s="41">
        <v>2</v>
      </c>
      <c r="R3177" s="41" t="s">
        <v>1547</v>
      </c>
      <c r="S3177" t="s">
        <v>1547</v>
      </c>
      <c r="AH3177" t="s">
        <v>359</v>
      </c>
    </row>
    <row r="3178" spans="1:34" ht="15.75">
      <c r="A3178" s="29">
        <f t="shared" si="53"/>
        <v>47129</v>
      </c>
      <c r="B3178" s="30">
        <v>560</v>
      </c>
      <c r="C3178" s="30">
        <v>1</v>
      </c>
      <c r="D3178" s="30">
        <v>1817</v>
      </c>
      <c r="E3178">
        <v>11762</v>
      </c>
      <c r="H3178" t="s">
        <v>1540</v>
      </c>
      <c r="I3178" s="30">
        <f>44129+3000</f>
        <v>47129</v>
      </c>
      <c r="J3178" s="30">
        <v>0</v>
      </c>
      <c r="K3178" s="30" t="s">
        <v>864</v>
      </c>
      <c r="L3178" s="43" t="s">
        <v>51</v>
      </c>
      <c r="M3178" s="41" t="s">
        <v>52</v>
      </c>
      <c r="N3178" s="41" t="s">
        <v>53</v>
      </c>
      <c r="O3178" s="41" t="s">
        <v>54</v>
      </c>
      <c r="P3178" s="41">
        <v>10</v>
      </c>
      <c r="Q3178" s="41">
        <v>3</v>
      </c>
      <c r="R3178" s="41">
        <v>54</v>
      </c>
      <c r="S3178" t="s">
        <v>55</v>
      </c>
      <c r="T3178" t="s">
        <v>4736</v>
      </c>
      <c r="V3178" t="s">
        <v>3870</v>
      </c>
      <c r="AH3178" t="s">
        <v>359</v>
      </c>
    </row>
    <row r="3179" spans="1:34" ht="15.75">
      <c r="A3179" s="29">
        <f t="shared" si="53"/>
        <v>28</v>
      </c>
      <c r="B3179" s="30">
        <v>560</v>
      </c>
      <c r="C3179" s="30">
        <v>1</v>
      </c>
      <c r="D3179" s="30">
        <v>1817</v>
      </c>
      <c r="E3179">
        <v>11763</v>
      </c>
      <c r="H3179" t="s">
        <v>1541</v>
      </c>
      <c r="I3179" s="30">
        <v>28</v>
      </c>
      <c r="J3179" s="30">
        <v>0</v>
      </c>
      <c r="K3179" s="30" t="s">
        <v>864</v>
      </c>
      <c r="L3179" s="43" t="s">
        <v>5729</v>
      </c>
      <c r="P3179" s="41">
        <v>2</v>
      </c>
      <c r="Q3179" s="41">
        <v>9</v>
      </c>
      <c r="R3179" s="41">
        <v>66</v>
      </c>
      <c r="S3179" t="s">
        <v>3075</v>
      </c>
      <c r="AH3179" t="s">
        <v>359</v>
      </c>
    </row>
    <row r="3180" spans="1:34" ht="15.75">
      <c r="A3180" s="29">
        <f t="shared" si="53"/>
        <v>28</v>
      </c>
      <c r="B3180" s="30">
        <v>560</v>
      </c>
      <c r="C3180" s="30">
        <v>1</v>
      </c>
      <c r="D3180" s="30">
        <v>1817</v>
      </c>
      <c r="E3180">
        <v>11765</v>
      </c>
      <c r="H3180" t="s">
        <v>1540</v>
      </c>
      <c r="I3180" s="30">
        <v>28</v>
      </c>
      <c r="J3180" s="30">
        <v>0</v>
      </c>
      <c r="K3180" s="30" t="s">
        <v>864</v>
      </c>
      <c r="L3180" s="43" t="s">
        <v>5732</v>
      </c>
      <c r="P3180" s="41">
        <v>9</v>
      </c>
      <c r="Q3180" s="41">
        <v>7</v>
      </c>
      <c r="R3180" s="41">
        <v>59</v>
      </c>
      <c r="S3180" t="s">
        <v>874</v>
      </c>
      <c r="AH3180" t="s">
        <v>359</v>
      </c>
    </row>
    <row r="3181" spans="1:34" ht="15.75">
      <c r="A3181" s="29">
        <f t="shared" si="53"/>
        <v>90</v>
      </c>
      <c r="B3181" s="30">
        <v>560</v>
      </c>
      <c r="C3181" s="30">
        <v>1</v>
      </c>
      <c r="D3181" s="30">
        <v>1817</v>
      </c>
      <c r="E3181">
        <v>11766</v>
      </c>
      <c r="H3181" t="s">
        <v>1541</v>
      </c>
      <c r="I3181" s="30">
        <v>90</v>
      </c>
      <c r="J3181" s="30">
        <v>0</v>
      </c>
      <c r="K3181" s="30" t="s">
        <v>864</v>
      </c>
      <c r="L3181" s="43" t="s">
        <v>5732</v>
      </c>
      <c r="P3181" s="41">
        <v>22</v>
      </c>
      <c r="Q3181" s="41">
        <v>8</v>
      </c>
      <c r="R3181" s="41">
        <v>33</v>
      </c>
      <c r="S3181" t="s">
        <v>3321</v>
      </c>
      <c r="AH3181" t="s">
        <v>359</v>
      </c>
    </row>
    <row r="3182" spans="1:34" ht="15.75">
      <c r="A3182" s="29">
        <f t="shared" si="53"/>
        <v>11215</v>
      </c>
      <c r="B3182" s="30">
        <v>560</v>
      </c>
      <c r="C3182" s="30">
        <v>1</v>
      </c>
      <c r="D3182" s="30">
        <v>1817</v>
      </c>
      <c r="E3182">
        <v>11767</v>
      </c>
      <c r="H3182" t="s">
        <v>1540</v>
      </c>
      <c r="I3182" s="30">
        <v>11215</v>
      </c>
      <c r="J3182" s="30">
        <v>0</v>
      </c>
      <c r="K3182" s="30" t="s">
        <v>864</v>
      </c>
      <c r="L3182" s="43" t="s">
        <v>5732</v>
      </c>
      <c r="P3182" s="41">
        <v>24</v>
      </c>
      <c r="Q3182" s="41">
        <v>10</v>
      </c>
      <c r="R3182" s="41">
        <v>60</v>
      </c>
      <c r="S3182" t="s">
        <v>3321</v>
      </c>
      <c r="AH3182" t="s">
        <v>359</v>
      </c>
    </row>
    <row r="3183" spans="1:34" ht="15.75">
      <c r="A3183" s="29">
        <f t="shared" si="53"/>
        <v>22357</v>
      </c>
      <c r="B3183" s="31">
        <v>561</v>
      </c>
      <c r="C3183" s="31">
        <v>1</v>
      </c>
      <c r="D3183" s="31">
        <v>1817</v>
      </c>
      <c r="E3183">
        <v>11818</v>
      </c>
      <c r="F3183" s="9"/>
      <c r="G3183" s="9"/>
      <c r="H3183" s="9" t="s">
        <v>1541</v>
      </c>
      <c r="I3183" s="31">
        <v>22357</v>
      </c>
      <c r="J3183" s="31">
        <v>0</v>
      </c>
      <c r="K3183" s="30" t="s">
        <v>864</v>
      </c>
      <c r="L3183" s="43" t="s">
        <v>2443</v>
      </c>
      <c r="M3183" s="41" t="s">
        <v>1217</v>
      </c>
      <c r="O3183" s="41" t="s">
        <v>60</v>
      </c>
      <c r="P3183" s="41">
        <v>24</v>
      </c>
      <c r="Q3183" s="41">
        <v>3</v>
      </c>
      <c r="S3183" t="s">
        <v>61</v>
      </c>
      <c r="T3183" t="s">
        <v>62</v>
      </c>
      <c r="U3183" t="s">
        <v>2322</v>
      </c>
      <c r="V3183" t="s">
        <v>5608</v>
      </c>
      <c r="AH3183" t="s">
        <v>359</v>
      </c>
    </row>
    <row r="3184" spans="1:34" ht="15.75">
      <c r="A3184" s="29">
        <f t="shared" si="53"/>
        <v>197</v>
      </c>
      <c r="B3184" s="30">
        <v>561</v>
      </c>
      <c r="C3184" s="30">
        <v>1</v>
      </c>
      <c r="D3184" s="30">
        <v>1817</v>
      </c>
      <c r="E3184">
        <v>11819</v>
      </c>
      <c r="H3184" t="s">
        <v>1540</v>
      </c>
      <c r="I3184" s="30">
        <v>197</v>
      </c>
      <c r="J3184" s="30">
        <v>0</v>
      </c>
      <c r="K3184" s="30" t="s">
        <v>864</v>
      </c>
      <c r="L3184" s="43" t="s">
        <v>5733</v>
      </c>
      <c r="P3184" s="41">
        <v>7</v>
      </c>
      <c r="Q3184" s="41">
        <v>9</v>
      </c>
      <c r="R3184" s="41">
        <v>30</v>
      </c>
      <c r="S3184" t="s">
        <v>3321</v>
      </c>
      <c r="AH3184" t="s">
        <v>359</v>
      </c>
    </row>
    <row r="3185" spans="1:34" ht="15.75">
      <c r="A3185" s="29">
        <f t="shared" si="53"/>
        <v>92</v>
      </c>
      <c r="B3185" s="30">
        <v>561</v>
      </c>
      <c r="C3185" s="30">
        <v>1</v>
      </c>
      <c r="D3185" s="30">
        <v>1817</v>
      </c>
      <c r="E3185">
        <v>11821</v>
      </c>
      <c r="H3185" t="s">
        <v>1540</v>
      </c>
      <c r="I3185" s="30">
        <v>92</v>
      </c>
      <c r="J3185" s="30">
        <v>0</v>
      </c>
      <c r="K3185" s="30" t="s">
        <v>864</v>
      </c>
      <c r="L3185" s="43" t="s">
        <v>5734</v>
      </c>
      <c r="P3185" s="41">
        <v>15</v>
      </c>
      <c r="Q3185" s="41">
        <v>5</v>
      </c>
      <c r="R3185" s="41">
        <v>36</v>
      </c>
      <c r="S3185" t="s">
        <v>3321</v>
      </c>
      <c r="AH3185" t="s">
        <v>359</v>
      </c>
    </row>
    <row r="3186" spans="1:34" ht="15.75">
      <c r="A3186" s="29">
        <f t="shared" si="53"/>
        <v>250</v>
      </c>
      <c r="B3186" s="30">
        <v>561</v>
      </c>
      <c r="C3186" s="30">
        <v>1</v>
      </c>
      <c r="D3186" s="30">
        <v>1817</v>
      </c>
      <c r="E3186">
        <v>11822</v>
      </c>
      <c r="H3186" t="s">
        <v>1541</v>
      </c>
      <c r="I3186" s="30">
        <v>250</v>
      </c>
      <c r="J3186" s="30">
        <v>0</v>
      </c>
      <c r="K3186" s="30" t="s">
        <v>864</v>
      </c>
      <c r="L3186" s="43" t="s">
        <v>5735</v>
      </c>
      <c r="P3186" s="41">
        <v>24</v>
      </c>
      <c r="Q3186" s="41">
        <v>5</v>
      </c>
      <c r="R3186" s="41">
        <v>26</v>
      </c>
      <c r="S3186" t="s">
        <v>3321</v>
      </c>
      <c r="AH3186" t="s">
        <v>359</v>
      </c>
    </row>
    <row r="3187" spans="1:34" ht="15.75">
      <c r="A3187" s="29">
        <f t="shared" si="53"/>
        <v>117</v>
      </c>
      <c r="B3187" s="30">
        <v>561</v>
      </c>
      <c r="C3187" s="30">
        <v>1</v>
      </c>
      <c r="D3187" s="30">
        <v>1817</v>
      </c>
      <c r="E3187">
        <v>11823</v>
      </c>
      <c r="H3187" t="s">
        <v>1541</v>
      </c>
      <c r="I3187" s="30">
        <v>117</v>
      </c>
      <c r="J3187" s="30">
        <v>0</v>
      </c>
      <c r="K3187" s="30" t="s">
        <v>864</v>
      </c>
      <c r="L3187" s="43" t="s">
        <v>5735</v>
      </c>
      <c r="P3187" s="41">
        <v>11</v>
      </c>
      <c r="Q3187" s="41">
        <v>8</v>
      </c>
      <c r="R3187" s="41">
        <v>70</v>
      </c>
      <c r="S3187" t="s">
        <v>1547</v>
      </c>
      <c r="AH3187" t="s">
        <v>359</v>
      </c>
    </row>
    <row r="3188" spans="1:34" ht="15.75">
      <c r="A3188" s="29">
        <f t="shared" si="53"/>
        <v>37</v>
      </c>
      <c r="B3188" s="30">
        <v>561</v>
      </c>
      <c r="C3188" s="30">
        <v>1</v>
      </c>
      <c r="D3188" s="30">
        <v>1817</v>
      </c>
      <c r="E3188">
        <v>11824</v>
      </c>
      <c r="H3188" t="s">
        <v>1541</v>
      </c>
      <c r="I3188" s="30">
        <v>37</v>
      </c>
      <c r="J3188" s="30">
        <v>0</v>
      </c>
      <c r="K3188" s="30" t="s">
        <v>864</v>
      </c>
      <c r="L3188" s="43" t="s">
        <v>5735</v>
      </c>
      <c r="P3188" s="41">
        <v>28</v>
      </c>
      <c r="Q3188" s="41">
        <v>3</v>
      </c>
      <c r="R3188" s="41">
        <v>67</v>
      </c>
      <c r="S3188" t="s">
        <v>4947</v>
      </c>
      <c r="AH3188" t="s">
        <v>359</v>
      </c>
    </row>
    <row r="3189" spans="1:34" ht="15.75">
      <c r="A3189" s="29">
        <f t="shared" si="53"/>
        <v>13150</v>
      </c>
      <c r="B3189" s="30">
        <v>561</v>
      </c>
      <c r="C3189" s="30">
        <v>1</v>
      </c>
      <c r="D3189" s="30">
        <v>1817</v>
      </c>
      <c r="E3189">
        <v>11825</v>
      </c>
      <c r="H3189" t="s">
        <v>1541</v>
      </c>
      <c r="I3189" s="30">
        <v>13150</v>
      </c>
      <c r="J3189" s="30">
        <v>0</v>
      </c>
      <c r="K3189" s="30" t="s">
        <v>864</v>
      </c>
      <c r="L3189" s="43" t="s">
        <v>5736</v>
      </c>
      <c r="P3189" s="41">
        <v>31</v>
      </c>
      <c r="Q3189" s="41">
        <v>5</v>
      </c>
      <c r="R3189" s="41">
        <v>83</v>
      </c>
      <c r="S3189" t="s">
        <v>874</v>
      </c>
      <c r="AH3189" t="s">
        <v>359</v>
      </c>
    </row>
    <row r="3190" spans="1:34" ht="15.75">
      <c r="A3190" s="29">
        <f t="shared" si="53"/>
        <v>4024</v>
      </c>
      <c r="B3190" s="30">
        <v>561</v>
      </c>
      <c r="C3190" s="30">
        <v>1</v>
      </c>
      <c r="D3190" s="30">
        <v>1817</v>
      </c>
      <c r="E3190">
        <v>11826</v>
      </c>
      <c r="H3190" t="s">
        <v>1541</v>
      </c>
      <c r="I3190" s="30">
        <v>4024</v>
      </c>
      <c r="J3190" s="30">
        <v>0</v>
      </c>
      <c r="K3190" s="30" t="s">
        <v>864</v>
      </c>
      <c r="L3190" s="43" t="s">
        <v>5736</v>
      </c>
      <c r="P3190" s="41">
        <v>8</v>
      </c>
      <c r="Q3190" s="41">
        <v>9</v>
      </c>
      <c r="R3190" s="41">
        <v>53</v>
      </c>
      <c r="S3190" t="s">
        <v>3321</v>
      </c>
      <c r="AH3190" t="s">
        <v>359</v>
      </c>
    </row>
    <row r="3191" spans="1:34" ht="15.75">
      <c r="A3191" s="29">
        <f t="shared" si="53"/>
        <v>5000</v>
      </c>
      <c r="B3191" s="30">
        <v>561</v>
      </c>
      <c r="C3191" s="30">
        <v>1</v>
      </c>
      <c r="D3191" s="30">
        <v>1817</v>
      </c>
      <c r="E3191">
        <v>11827</v>
      </c>
      <c r="H3191" t="s">
        <v>1541</v>
      </c>
      <c r="I3191" s="30">
        <v>5000</v>
      </c>
      <c r="J3191" s="30">
        <v>0</v>
      </c>
      <c r="K3191" s="30" t="s">
        <v>864</v>
      </c>
      <c r="L3191" s="43" t="s">
        <v>4710</v>
      </c>
      <c r="P3191" s="41">
        <v>10</v>
      </c>
      <c r="Q3191" s="41">
        <v>6</v>
      </c>
      <c r="R3191" s="41">
        <v>16</v>
      </c>
      <c r="S3191" t="s">
        <v>1547</v>
      </c>
      <c r="AH3191" t="s">
        <v>359</v>
      </c>
    </row>
    <row r="3192" spans="1:34" ht="15.75">
      <c r="A3192" s="29">
        <f t="shared" si="53"/>
        <v>3586</v>
      </c>
      <c r="B3192" s="30">
        <v>561</v>
      </c>
      <c r="C3192" s="30">
        <v>1</v>
      </c>
      <c r="D3192" s="30">
        <v>1817</v>
      </c>
      <c r="E3192">
        <v>11828</v>
      </c>
      <c r="H3192" t="s">
        <v>1541</v>
      </c>
      <c r="I3192" s="30">
        <v>3586</v>
      </c>
      <c r="J3192" s="30">
        <v>0</v>
      </c>
      <c r="K3192" s="30" t="s">
        <v>864</v>
      </c>
      <c r="L3192" s="43" t="s">
        <v>5737</v>
      </c>
      <c r="P3192" s="41">
        <v>29</v>
      </c>
      <c r="Q3192" s="41">
        <v>12</v>
      </c>
      <c r="R3192" s="41">
        <v>73</v>
      </c>
      <c r="S3192" t="s">
        <v>3321</v>
      </c>
      <c r="AH3192" t="s">
        <v>359</v>
      </c>
    </row>
    <row r="3193" spans="1:34" ht="15.75">
      <c r="A3193" s="29">
        <f t="shared" si="53"/>
        <v>442</v>
      </c>
      <c r="B3193" s="30">
        <v>561</v>
      </c>
      <c r="C3193" s="30">
        <v>1</v>
      </c>
      <c r="D3193" s="30">
        <v>1817</v>
      </c>
      <c r="E3193">
        <v>11829</v>
      </c>
      <c r="H3193" t="s">
        <v>1541</v>
      </c>
      <c r="I3193" s="30">
        <v>442</v>
      </c>
      <c r="J3193" s="30">
        <v>0</v>
      </c>
      <c r="K3193" s="30" t="s">
        <v>864</v>
      </c>
      <c r="L3193" s="43" t="s">
        <v>3666</v>
      </c>
      <c r="P3193" s="41">
        <v>20</v>
      </c>
      <c r="Q3193" s="41">
        <v>5</v>
      </c>
      <c r="R3193" s="41">
        <v>32</v>
      </c>
      <c r="S3193" t="s">
        <v>3321</v>
      </c>
      <c r="AH3193" t="s">
        <v>359</v>
      </c>
    </row>
    <row r="3194" spans="1:34" ht="15.75">
      <c r="A3194" s="29">
        <f t="shared" si="53"/>
        <v>889</v>
      </c>
      <c r="B3194" s="30">
        <v>562</v>
      </c>
      <c r="C3194" s="30">
        <v>1</v>
      </c>
      <c r="D3194" s="30">
        <v>1817</v>
      </c>
      <c r="E3194">
        <v>11857</v>
      </c>
      <c r="H3194" t="s">
        <v>1541</v>
      </c>
      <c r="I3194" s="30">
        <v>889</v>
      </c>
      <c r="J3194" s="30">
        <v>0</v>
      </c>
      <c r="K3194" s="30" t="s">
        <v>864</v>
      </c>
      <c r="L3194" s="43" t="s">
        <v>5739</v>
      </c>
      <c r="P3194" s="41">
        <v>5</v>
      </c>
      <c r="Q3194" s="41">
        <v>10</v>
      </c>
      <c r="R3194" s="41" t="s">
        <v>1547</v>
      </c>
      <c r="S3194" t="s">
        <v>3321</v>
      </c>
      <c r="AH3194" t="s">
        <v>359</v>
      </c>
    </row>
    <row r="3195" spans="1:34" ht="15.75">
      <c r="A3195" s="29">
        <f t="shared" si="53"/>
        <v>156</v>
      </c>
      <c r="B3195" s="30">
        <v>562</v>
      </c>
      <c r="C3195" s="30">
        <v>1</v>
      </c>
      <c r="D3195" s="30">
        <v>1817</v>
      </c>
      <c r="E3195">
        <v>11858</v>
      </c>
      <c r="H3195" t="s">
        <v>1541</v>
      </c>
      <c r="I3195" s="30">
        <v>156</v>
      </c>
      <c r="J3195" s="30">
        <v>0</v>
      </c>
      <c r="K3195" s="30" t="s">
        <v>864</v>
      </c>
      <c r="L3195" s="43" t="s">
        <v>5739</v>
      </c>
      <c r="P3195" s="41">
        <v>26</v>
      </c>
      <c r="Q3195" s="41">
        <v>6</v>
      </c>
      <c r="R3195" s="41">
        <v>85</v>
      </c>
      <c r="S3195" t="s">
        <v>3321</v>
      </c>
      <c r="AH3195" t="s">
        <v>359</v>
      </c>
    </row>
    <row r="3196" spans="1:34" ht="15.75">
      <c r="A3196" s="29">
        <f t="shared" si="53"/>
        <v>341</v>
      </c>
      <c r="B3196" s="30">
        <v>562</v>
      </c>
      <c r="C3196" s="30">
        <v>1</v>
      </c>
      <c r="D3196" s="30">
        <v>1817</v>
      </c>
      <c r="E3196">
        <v>11859</v>
      </c>
      <c r="H3196" t="s">
        <v>1541</v>
      </c>
      <c r="I3196" s="30">
        <v>341</v>
      </c>
      <c r="J3196" s="30">
        <v>0</v>
      </c>
      <c r="K3196" s="30" t="s">
        <v>864</v>
      </c>
      <c r="L3196" s="43" t="s">
        <v>2446</v>
      </c>
      <c r="P3196" s="41">
        <v>24</v>
      </c>
      <c r="Q3196" s="41">
        <v>1</v>
      </c>
      <c r="R3196" s="41">
        <v>45</v>
      </c>
      <c r="S3196" t="s">
        <v>3321</v>
      </c>
      <c r="AH3196" t="s">
        <v>359</v>
      </c>
    </row>
    <row r="3197" spans="1:34" ht="15.75">
      <c r="A3197" s="29">
        <f t="shared" si="53"/>
        <v>15802</v>
      </c>
      <c r="B3197" s="30">
        <v>562</v>
      </c>
      <c r="C3197" s="30">
        <v>1</v>
      </c>
      <c r="D3197" s="30">
        <v>1817</v>
      </c>
      <c r="E3197">
        <v>11861</v>
      </c>
      <c r="H3197" t="s">
        <v>1540</v>
      </c>
      <c r="I3197" s="30">
        <v>15802</v>
      </c>
      <c r="J3197" s="30">
        <v>0</v>
      </c>
      <c r="K3197" s="30" t="s">
        <v>864</v>
      </c>
      <c r="L3197" s="43" t="s">
        <v>71</v>
      </c>
      <c r="P3197" s="41">
        <v>14</v>
      </c>
      <c r="Q3197" s="41">
        <v>10</v>
      </c>
      <c r="R3197" s="41" t="s">
        <v>1547</v>
      </c>
      <c r="S3197" t="s">
        <v>362</v>
      </c>
      <c r="AH3197" t="s">
        <v>359</v>
      </c>
    </row>
    <row r="3198" spans="1:34" ht="15.75">
      <c r="A3198" s="29">
        <f t="shared" si="53"/>
        <v>248</v>
      </c>
      <c r="B3198" s="30">
        <v>562</v>
      </c>
      <c r="C3198" s="30">
        <v>1</v>
      </c>
      <c r="D3198" s="30">
        <v>1817</v>
      </c>
      <c r="E3198">
        <v>11862</v>
      </c>
      <c r="H3198" t="s">
        <v>1541</v>
      </c>
      <c r="I3198" s="30">
        <v>248</v>
      </c>
      <c r="J3198" s="30">
        <v>0</v>
      </c>
      <c r="K3198" s="30" t="s">
        <v>864</v>
      </c>
      <c r="L3198" s="43" t="s">
        <v>72</v>
      </c>
      <c r="P3198" s="41">
        <v>9</v>
      </c>
      <c r="Q3198" s="41">
        <v>5</v>
      </c>
      <c r="R3198" s="41">
        <v>72</v>
      </c>
      <c r="S3198" t="s">
        <v>1547</v>
      </c>
      <c r="AH3198" t="s">
        <v>359</v>
      </c>
    </row>
    <row r="3199" spans="1:34" ht="15.75">
      <c r="A3199" s="29">
        <f t="shared" si="53"/>
        <v>1031</v>
      </c>
      <c r="B3199" s="30">
        <v>562</v>
      </c>
      <c r="C3199" s="30">
        <v>1</v>
      </c>
      <c r="D3199" s="30">
        <v>1817</v>
      </c>
      <c r="E3199">
        <v>11863</v>
      </c>
      <c r="H3199" t="s">
        <v>1541</v>
      </c>
      <c r="I3199" s="30">
        <v>1031</v>
      </c>
      <c r="J3199" s="30">
        <v>0</v>
      </c>
      <c r="K3199" s="30" t="s">
        <v>864</v>
      </c>
      <c r="L3199" s="43" t="s">
        <v>5742</v>
      </c>
      <c r="P3199" s="41">
        <v>30</v>
      </c>
      <c r="Q3199" s="41">
        <v>12</v>
      </c>
      <c r="R3199" s="41">
        <v>64</v>
      </c>
      <c r="S3199" t="s">
        <v>3321</v>
      </c>
      <c r="AH3199" t="s">
        <v>359</v>
      </c>
    </row>
    <row r="3200" spans="1:34" ht="15.75">
      <c r="A3200" s="29">
        <f t="shared" si="53"/>
        <v>139</v>
      </c>
      <c r="B3200" s="30">
        <v>562</v>
      </c>
      <c r="C3200" s="30">
        <v>1</v>
      </c>
      <c r="D3200" s="30">
        <v>1817</v>
      </c>
      <c r="E3200">
        <v>11864</v>
      </c>
      <c r="H3200" t="s">
        <v>1540</v>
      </c>
      <c r="I3200" s="30">
        <f>94+45</f>
        <v>139</v>
      </c>
      <c r="J3200" s="30">
        <v>0</v>
      </c>
      <c r="K3200" s="30" t="s">
        <v>864</v>
      </c>
      <c r="L3200" s="43" t="s">
        <v>73</v>
      </c>
      <c r="P3200" s="41">
        <v>27</v>
      </c>
      <c r="Q3200" s="41">
        <v>6</v>
      </c>
      <c r="R3200" s="41">
        <v>68</v>
      </c>
      <c r="S3200" t="s">
        <v>884</v>
      </c>
      <c r="AH3200" t="s">
        <v>359</v>
      </c>
    </row>
    <row r="3201" spans="1:34" ht="15.75">
      <c r="A3201" s="29">
        <f t="shared" si="53"/>
        <v>8978</v>
      </c>
      <c r="B3201" s="30">
        <v>562</v>
      </c>
      <c r="C3201" s="30">
        <v>1</v>
      </c>
      <c r="D3201" s="30">
        <v>1817</v>
      </c>
      <c r="E3201">
        <v>11865</v>
      </c>
      <c r="H3201" t="s">
        <v>1540</v>
      </c>
      <c r="I3201" s="30">
        <f>3900+5078</f>
        <v>8978</v>
      </c>
      <c r="J3201" s="30">
        <v>0</v>
      </c>
      <c r="K3201" s="30" t="s">
        <v>864</v>
      </c>
      <c r="L3201" s="43" t="s">
        <v>74</v>
      </c>
      <c r="P3201" s="41">
        <v>19</v>
      </c>
      <c r="Q3201" s="41">
        <v>3</v>
      </c>
      <c r="R3201" s="41">
        <v>38</v>
      </c>
      <c r="AH3201" t="s">
        <v>359</v>
      </c>
    </row>
    <row r="3202" spans="1:34" ht="15.75">
      <c r="A3202" s="29">
        <f t="shared" si="53"/>
        <v>237</v>
      </c>
      <c r="B3202" s="30">
        <v>562</v>
      </c>
      <c r="C3202" s="30">
        <v>1</v>
      </c>
      <c r="D3202" s="30">
        <v>1817</v>
      </c>
      <c r="E3202">
        <v>11866</v>
      </c>
      <c r="H3202" t="s">
        <v>1540</v>
      </c>
      <c r="I3202" s="30">
        <v>237</v>
      </c>
      <c r="J3202" s="30">
        <v>0</v>
      </c>
      <c r="K3202" s="30" t="s">
        <v>864</v>
      </c>
      <c r="L3202" s="43" t="s">
        <v>5743</v>
      </c>
      <c r="P3202" s="41">
        <v>27</v>
      </c>
      <c r="Q3202" s="41">
        <v>5</v>
      </c>
      <c r="R3202" s="41" t="s">
        <v>1547</v>
      </c>
      <c r="S3202" t="s">
        <v>3321</v>
      </c>
      <c r="AH3202" t="s">
        <v>359</v>
      </c>
    </row>
    <row r="3203" spans="1:34" ht="15.75">
      <c r="A3203" s="29">
        <f t="shared" si="53"/>
        <v>91</v>
      </c>
      <c r="B3203" s="30">
        <v>562</v>
      </c>
      <c r="C3203" s="30">
        <v>1</v>
      </c>
      <c r="D3203" s="30">
        <v>1817</v>
      </c>
      <c r="E3203">
        <v>11867</v>
      </c>
      <c r="H3203" t="s">
        <v>1540</v>
      </c>
      <c r="I3203" s="30">
        <v>91</v>
      </c>
      <c r="J3203" s="30">
        <v>0</v>
      </c>
      <c r="K3203" s="30" t="s">
        <v>864</v>
      </c>
      <c r="L3203" s="43" t="s">
        <v>5743</v>
      </c>
      <c r="P3203" s="41">
        <v>1</v>
      </c>
      <c r="Q3203" s="41">
        <v>9</v>
      </c>
      <c r="R3203" s="41" t="s">
        <v>1547</v>
      </c>
      <c r="S3203" t="s">
        <v>1547</v>
      </c>
      <c r="AH3203" t="s">
        <v>359</v>
      </c>
    </row>
    <row r="3204" spans="1:34" ht="15.75">
      <c r="A3204" s="29">
        <f t="shared" si="53"/>
        <v>0</v>
      </c>
      <c r="B3204" s="30">
        <v>562</v>
      </c>
      <c r="C3204" s="30">
        <v>1</v>
      </c>
      <c r="D3204" s="30">
        <v>1817</v>
      </c>
      <c r="E3204">
        <v>11868</v>
      </c>
      <c r="H3204" t="s">
        <v>1540</v>
      </c>
      <c r="I3204" s="30">
        <v>0</v>
      </c>
      <c r="J3204" s="30">
        <v>0</v>
      </c>
      <c r="K3204" s="30" t="s">
        <v>850</v>
      </c>
      <c r="L3204" s="43" t="s">
        <v>75</v>
      </c>
      <c r="M3204" s="41" t="s">
        <v>1248</v>
      </c>
      <c r="N3204" s="41" t="s">
        <v>1555</v>
      </c>
      <c r="O3204" s="41" t="s">
        <v>76</v>
      </c>
      <c r="V3204" t="s">
        <v>77</v>
      </c>
      <c r="AG3204" t="s">
        <v>78</v>
      </c>
      <c r="AH3204" t="s">
        <v>359</v>
      </c>
    </row>
    <row r="3205" spans="1:34" ht="15.75">
      <c r="A3205" s="29">
        <f t="shared" si="53"/>
        <v>20000</v>
      </c>
      <c r="B3205" s="31">
        <v>562</v>
      </c>
      <c r="C3205" s="31">
        <v>1</v>
      </c>
      <c r="D3205" s="31">
        <v>1817</v>
      </c>
      <c r="E3205">
        <v>11869</v>
      </c>
      <c r="F3205" s="9"/>
      <c r="G3205" s="9"/>
      <c r="H3205" s="9" t="s">
        <v>1540</v>
      </c>
      <c r="I3205" s="31">
        <v>20000</v>
      </c>
      <c r="J3205" s="31">
        <v>0</v>
      </c>
      <c r="K3205" s="30" t="s">
        <v>850</v>
      </c>
      <c r="L3205" s="43" t="s">
        <v>632</v>
      </c>
      <c r="M3205" s="41" t="s">
        <v>5316</v>
      </c>
      <c r="N3205" s="43" t="s">
        <v>79</v>
      </c>
      <c r="O3205" s="41" t="s">
        <v>80</v>
      </c>
      <c r="P3205" s="41">
        <v>14</v>
      </c>
      <c r="Q3205" s="41">
        <v>12</v>
      </c>
      <c r="R3205" s="41" t="s">
        <v>1547</v>
      </c>
      <c r="S3205" t="s">
        <v>847</v>
      </c>
      <c r="T3205" t="s">
        <v>81</v>
      </c>
      <c r="V3205" t="s">
        <v>1611</v>
      </c>
      <c r="AH3205" t="s">
        <v>359</v>
      </c>
    </row>
    <row r="3206" spans="1:34" ht="15.75">
      <c r="A3206" s="29">
        <f t="shared" si="53"/>
        <v>15885</v>
      </c>
      <c r="B3206" s="30">
        <v>563</v>
      </c>
      <c r="C3206" s="30">
        <v>1</v>
      </c>
      <c r="D3206" s="30">
        <v>1817</v>
      </c>
      <c r="E3206">
        <v>11872</v>
      </c>
      <c r="H3206" t="s">
        <v>850</v>
      </c>
      <c r="I3206" s="29">
        <v>885</v>
      </c>
      <c r="J3206" s="29">
        <v>1500</v>
      </c>
      <c r="K3206" s="30" t="s">
        <v>850</v>
      </c>
      <c r="L3206" s="43" t="s">
        <v>83</v>
      </c>
      <c r="M3206" s="41" t="s">
        <v>4643</v>
      </c>
      <c r="N3206" s="41" t="s">
        <v>1545</v>
      </c>
      <c r="O3206" s="41" t="s">
        <v>84</v>
      </c>
      <c r="P3206" s="41">
        <v>17</v>
      </c>
      <c r="Q3206" s="41">
        <v>3</v>
      </c>
      <c r="R3206" s="41">
        <v>57</v>
      </c>
      <c r="S3206" t="s">
        <v>1711</v>
      </c>
      <c r="T3206" t="s">
        <v>1262</v>
      </c>
      <c r="V3206" t="s">
        <v>1264</v>
      </c>
      <c r="X3206">
        <v>0.5</v>
      </c>
      <c r="Y3206" t="s">
        <v>85</v>
      </c>
      <c r="AH3206" t="s">
        <v>359</v>
      </c>
    </row>
    <row r="3207" spans="1:34" ht="15.75">
      <c r="A3207" s="29">
        <f t="shared" si="53"/>
        <v>5935</v>
      </c>
      <c r="B3207" s="30">
        <v>563</v>
      </c>
      <c r="C3207" s="30">
        <v>1</v>
      </c>
      <c r="D3207" s="30">
        <v>1817</v>
      </c>
      <c r="E3207">
        <v>11875</v>
      </c>
      <c r="H3207" t="s">
        <v>850</v>
      </c>
      <c r="I3207" s="29">
        <v>5935</v>
      </c>
      <c r="J3207" s="30">
        <v>0</v>
      </c>
      <c r="K3207" s="30" t="s">
        <v>850</v>
      </c>
      <c r="L3207" s="43" t="s">
        <v>5756</v>
      </c>
      <c r="P3207" s="41">
        <v>8</v>
      </c>
      <c r="Q3207" s="41">
        <v>4</v>
      </c>
      <c r="R3207" s="41">
        <v>90</v>
      </c>
      <c r="S3207" t="s">
        <v>874</v>
      </c>
      <c r="AH3207" t="s">
        <v>359</v>
      </c>
    </row>
    <row r="3208" spans="1:34" ht="15.75">
      <c r="A3208" s="29">
        <f t="shared" si="53"/>
        <v>1925</v>
      </c>
      <c r="B3208" s="30">
        <v>563</v>
      </c>
      <c r="C3208" s="30">
        <v>1</v>
      </c>
      <c r="D3208" s="30">
        <v>1817</v>
      </c>
      <c r="E3208">
        <v>11877</v>
      </c>
      <c r="H3208" t="s">
        <v>1549</v>
      </c>
      <c r="I3208" s="29">
        <v>1925</v>
      </c>
      <c r="J3208" s="30">
        <v>0</v>
      </c>
      <c r="K3208" s="30" t="s">
        <v>850</v>
      </c>
      <c r="L3208" s="43" t="s">
        <v>5756</v>
      </c>
      <c r="P3208" s="41">
        <v>10</v>
      </c>
      <c r="Q3208" s="41">
        <v>8</v>
      </c>
      <c r="R3208" s="41">
        <v>44</v>
      </c>
      <c r="S3208" t="s">
        <v>3321</v>
      </c>
      <c r="AH3208" t="s">
        <v>359</v>
      </c>
    </row>
    <row r="3209" spans="1:34" ht="15.75">
      <c r="A3209" s="29">
        <f t="shared" si="53"/>
        <v>135</v>
      </c>
      <c r="B3209" s="30">
        <v>563</v>
      </c>
      <c r="C3209" s="30">
        <v>1</v>
      </c>
      <c r="D3209" s="30">
        <v>1817</v>
      </c>
      <c r="E3209">
        <v>11902</v>
      </c>
      <c r="H3209" t="s">
        <v>1541</v>
      </c>
      <c r="I3209" s="30">
        <v>135</v>
      </c>
      <c r="J3209" s="30">
        <v>0</v>
      </c>
      <c r="K3209" s="30" t="s">
        <v>850</v>
      </c>
      <c r="L3209" s="43" t="s">
        <v>2692</v>
      </c>
      <c r="P3209" s="41">
        <v>22</v>
      </c>
      <c r="Q3209" s="41">
        <v>11</v>
      </c>
      <c r="R3209" s="41" t="s">
        <v>1547</v>
      </c>
      <c r="S3209" t="s">
        <v>3321</v>
      </c>
      <c r="AH3209" t="s">
        <v>359</v>
      </c>
    </row>
    <row r="3210" spans="1:34" ht="15.75">
      <c r="A3210" s="29">
        <f t="shared" si="53"/>
        <v>250</v>
      </c>
      <c r="B3210" s="30">
        <v>563</v>
      </c>
      <c r="C3210" s="30">
        <v>1</v>
      </c>
      <c r="D3210" s="30">
        <v>1817</v>
      </c>
      <c r="E3210">
        <v>11903</v>
      </c>
      <c r="H3210" t="s">
        <v>1541</v>
      </c>
      <c r="I3210" s="30">
        <v>250</v>
      </c>
      <c r="J3210" s="30">
        <v>0</v>
      </c>
      <c r="K3210" s="30" t="s">
        <v>850</v>
      </c>
      <c r="L3210" s="43" t="s">
        <v>2692</v>
      </c>
      <c r="P3210" s="41">
        <v>13</v>
      </c>
      <c r="Q3210" s="41">
        <v>1</v>
      </c>
      <c r="R3210" s="41">
        <v>67</v>
      </c>
      <c r="S3210" t="s">
        <v>3321</v>
      </c>
      <c r="AH3210" t="s">
        <v>359</v>
      </c>
    </row>
    <row r="3211" spans="1:34" ht="15.75">
      <c r="A3211" s="29">
        <f t="shared" si="53"/>
        <v>250</v>
      </c>
      <c r="B3211" s="30">
        <v>563</v>
      </c>
      <c r="C3211" s="30"/>
      <c r="D3211" s="30"/>
      <c r="E3211">
        <v>11905</v>
      </c>
      <c r="H3211" t="s">
        <v>850</v>
      </c>
      <c r="I3211" s="30">
        <v>250</v>
      </c>
      <c r="J3211" s="30">
        <v>0</v>
      </c>
      <c r="K3211" s="30" t="s">
        <v>850</v>
      </c>
      <c r="L3211" s="43" t="s">
        <v>5750</v>
      </c>
      <c r="P3211" s="41">
        <v>23</v>
      </c>
      <c r="Q3211" s="41">
        <v>11</v>
      </c>
      <c r="R3211" s="41">
        <v>28</v>
      </c>
      <c r="S3211" t="s">
        <v>3321</v>
      </c>
      <c r="AH3211" t="s">
        <v>359</v>
      </c>
    </row>
    <row r="3212" spans="1:34" ht="15.75">
      <c r="A3212" s="29">
        <f t="shared" si="53"/>
        <v>7100</v>
      </c>
      <c r="B3212" s="30">
        <v>563</v>
      </c>
      <c r="C3212" s="30">
        <v>1</v>
      </c>
      <c r="D3212" s="30">
        <v>1817</v>
      </c>
      <c r="E3212">
        <v>11906</v>
      </c>
      <c r="H3212" t="s">
        <v>1540</v>
      </c>
      <c r="I3212" s="30">
        <v>7100</v>
      </c>
      <c r="J3212" s="30">
        <v>0</v>
      </c>
      <c r="K3212" s="30" t="s">
        <v>850</v>
      </c>
      <c r="L3212" s="43" t="s">
        <v>5752</v>
      </c>
      <c r="P3212" s="41">
        <v>27</v>
      </c>
      <c r="Q3212" s="41">
        <v>5</v>
      </c>
      <c r="R3212" s="41">
        <v>79</v>
      </c>
      <c r="S3212" t="s">
        <v>874</v>
      </c>
      <c r="AH3212" t="s">
        <v>359</v>
      </c>
    </row>
    <row r="3213" spans="1:34" ht="15.75">
      <c r="A3213" s="29">
        <f t="shared" si="53"/>
        <v>356</v>
      </c>
      <c r="B3213" s="30">
        <v>563</v>
      </c>
      <c r="C3213" s="30">
        <v>1</v>
      </c>
      <c r="D3213" s="30">
        <v>1817</v>
      </c>
      <c r="E3213">
        <v>11907</v>
      </c>
      <c r="H3213" t="s">
        <v>1541</v>
      </c>
      <c r="I3213" s="30">
        <v>356</v>
      </c>
      <c r="J3213" s="30">
        <v>0</v>
      </c>
      <c r="K3213" s="30" t="s">
        <v>850</v>
      </c>
      <c r="L3213" s="43" t="s">
        <v>5906</v>
      </c>
      <c r="P3213" s="41">
        <v>6</v>
      </c>
      <c r="Q3213" s="41">
        <v>9</v>
      </c>
      <c r="R3213" s="41" t="s">
        <v>1547</v>
      </c>
      <c r="S3213" t="s">
        <v>874</v>
      </c>
      <c r="AH3213" t="s">
        <v>359</v>
      </c>
    </row>
    <row r="3214" spans="1:34" ht="15.75">
      <c r="A3214" s="29">
        <f t="shared" si="53"/>
        <v>4230</v>
      </c>
      <c r="B3214" s="30">
        <v>563</v>
      </c>
      <c r="C3214" s="30">
        <v>1</v>
      </c>
      <c r="D3214" s="30">
        <v>1817</v>
      </c>
      <c r="E3214">
        <v>11908</v>
      </c>
      <c r="H3214" t="s">
        <v>1541</v>
      </c>
      <c r="I3214" s="30">
        <v>4230</v>
      </c>
      <c r="J3214" s="30">
        <v>0</v>
      </c>
      <c r="K3214" s="30" t="s">
        <v>850</v>
      </c>
      <c r="L3214" s="43" t="s">
        <v>5950</v>
      </c>
      <c r="P3214" s="41">
        <v>19</v>
      </c>
      <c r="Q3214" s="41">
        <v>6</v>
      </c>
      <c r="R3214" s="41">
        <v>49</v>
      </c>
      <c r="S3214" t="s">
        <v>1547</v>
      </c>
      <c r="AH3214" t="s">
        <v>359</v>
      </c>
    </row>
    <row r="3215" spans="1:34" ht="15.75">
      <c r="A3215" s="29">
        <f t="shared" si="53"/>
        <v>63400</v>
      </c>
      <c r="B3215" s="30">
        <v>563</v>
      </c>
      <c r="C3215" s="30">
        <v>1</v>
      </c>
      <c r="D3215" s="30">
        <v>1817</v>
      </c>
      <c r="E3215">
        <v>11909</v>
      </c>
      <c r="H3215" t="s">
        <v>1540</v>
      </c>
      <c r="I3215" s="30">
        <f>45675+2100</f>
        <v>47775</v>
      </c>
      <c r="J3215" s="30">
        <v>3125</v>
      </c>
      <c r="K3215" s="30" t="s">
        <v>850</v>
      </c>
      <c r="L3215" s="43" t="s">
        <v>89</v>
      </c>
      <c r="M3215" s="41" t="s">
        <v>1252</v>
      </c>
      <c r="N3215" s="41" t="s">
        <v>1555</v>
      </c>
      <c r="O3215" s="41" t="s">
        <v>370</v>
      </c>
      <c r="P3215" s="41">
        <v>20</v>
      </c>
      <c r="Q3215" s="41">
        <v>5</v>
      </c>
      <c r="R3215" s="41">
        <v>65</v>
      </c>
      <c r="S3215" t="s">
        <v>90</v>
      </c>
      <c r="T3215" t="s">
        <v>91</v>
      </c>
      <c r="V3215" t="s">
        <v>1253</v>
      </c>
      <c r="X3215">
        <v>0.25</v>
      </c>
      <c r="Y3215" t="s">
        <v>92</v>
      </c>
      <c r="AH3215" t="s">
        <v>359</v>
      </c>
    </row>
    <row r="3216" spans="1:34" ht="15.75">
      <c r="A3216" s="29">
        <f t="shared" si="53"/>
        <v>310</v>
      </c>
      <c r="B3216" s="30">
        <v>563</v>
      </c>
      <c r="C3216" s="30">
        <v>1</v>
      </c>
      <c r="D3216" s="30">
        <v>1817</v>
      </c>
      <c r="E3216">
        <v>11910</v>
      </c>
      <c r="H3216" t="s">
        <v>1541</v>
      </c>
      <c r="I3216" s="30">
        <v>310</v>
      </c>
      <c r="J3216" s="30">
        <v>0</v>
      </c>
      <c r="K3216" s="30" t="s">
        <v>850</v>
      </c>
      <c r="L3216" s="43" t="s">
        <v>5754</v>
      </c>
      <c r="P3216" s="41">
        <v>15</v>
      </c>
      <c r="Q3216" s="41">
        <v>11</v>
      </c>
      <c r="R3216" s="41">
        <v>27</v>
      </c>
      <c r="S3216" t="s">
        <v>1547</v>
      </c>
      <c r="AH3216" t="s">
        <v>359</v>
      </c>
    </row>
    <row r="3217" spans="1:34" ht="15.75">
      <c r="A3217" s="29">
        <f t="shared" si="53"/>
        <v>63</v>
      </c>
      <c r="B3217" s="30">
        <v>564</v>
      </c>
      <c r="C3217" s="30">
        <v>1</v>
      </c>
      <c r="D3217" s="30">
        <v>1817</v>
      </c>
      <c r="E3217">
        <v>11918</v>
      </c>
      <c r="H3217" t="s">
        <v>850</v>
      </c>
      <c r="I3217" s="29">
        <v>63</v>
      </c>
      <c r="J3217">
        <v>0</v>
      </c>
      <c r="K3217" s="30" t="s">
        <v>865</v>
      </c>
      <c r="L3217" s="43" t="s">
        <v>5757</v>
      </c>
      <c r="P3217" s="41">
        <v>30</v>
      </c>
      <c r="Q3217" s="41">
        <v>3</v>
      </c>
      <c r="R3217" s="41">
        <v>53</v>
      </c>
      <c r="S3217" t="s">
        <v>874</v>
      </c>
      <c r="AH3217" t="s">
        <v>359</v>
      </c>
    </row>
    <row r="3218" spans="1:34" ht="15.75">
      <c r="A3218" s="29">
        <f t="shared" si="53"/>
        <v>77417</v>
      </c>
      <c r="B3218" s="30">
        <v>564</v>
      </c>
      <c r="C3218" s="30">
        <v>1</v>
      </c>
      <c r="D3218" s="30">
        <v>1817</v>
      </c>
      <c r="E3218">
        <v>11920</v>
      </c>
      <c r="H3218" t="s">
        <v>850</v>
      </c>
      <c r="I3218" s="29">
        <v>29417</v>
      </c>
      <c r="J3218" s="29">
        <v>2400</v>
      </c>
      <c r="K3218" s="30" t="s">
        <v>865</v>
      </c>
      <c r="L3218" s="43" t="s">
        <v>95</v>
      </c>
      <c r="M3218" s="41" t="s">
        <v>1705</v>
      </c>
      <c r="O3218" s="41" t="s">
        <v>96</v>
      </c>
      <c r="P3218" s="41">
        <v>1</v>
      </c>
      <c r="Q3218" s="41">
        <v>1</v>
      </c>
      <c r="R3218" s="41">
        <v>54</v>
      </c>
      <c r="S3218" t="s">
        <v>97</v>
      </c>
      <c r="T3218" t="s">
        <v>4784</v>
      </c>
      <c r="V3218" t="s">
        <v>1983</v>
      </c>
      <c r="X3218">
        <v>1</v>
      </c>
      <c r="Y3218" t="s">
        <v>98</v>
      </c>
      <c r="AH3218" t="s">
        <v>359</v>
      </c>
    </row>
    <row r="3219" spans="1:34" ht="15.75">
      <c r="A3219" s="29">
        <f aca="true" t="shared" si="54" ref="A3219:A3282">I3219+J3219*20*X3219</f>
        <v>13186.2</v>
      </c>
      <c r="B3219" s="30">
        <v>564</v>
      </c>
      <c r="C3219" s="30">
        <v>1</v>
      </c>
      <c r="D3219" s="30">
        <v>1817</v>
      </c>
      <c r="E3219">
        <v>11921</v>
      </c>
      <c r="H3219" t="s">
        <v>1549</v>
      </c>
      <c r="I3219" s="29">
        <v>1458</v>
      </c>
      <c r="J3219" s="29">
        <v>1777</v>
      </c>
      <c r="K3219" s="30" t="s">
        <v>865</v>
      </c>
      <c r="L3219" s="43" t="s">
        <v>99</v>
      </c>
      <c r="M3219" s="41" t="s">
        <v>100</v>
      </c>
      <c r="N3219" s="41" t="s">
        <v>5959</v>
      </c>
      <c r="O3219" s="41" t="s">
        <v>101</v>
      </c>
      <c r="P3219" s="41">
        <v>28</v>
      </c>
      <c r="Q3219" s="41">
        <v>1</v>
      </c>
      <c r="R3219" s="41">
        <v>24</v>
      </c>
      <c r="S3219" t="s">
        <v>847</v>
      </c>
      <c r="T3219" t="s">
        <v>102</v>
      </c>
      <c r="V3219" t="s">
        <v>3249</v>
      </c>
      <c r="X3219">
        <v>0.33</v>
      </c>
      <c r="Y3219" t="s">
        <v>103</v>
      </c>
      <c r="AH3219" t="s">
        <v>359</v>
      </c>
    </row>
    <row r="3220" spans="1:34" ht="15.75">
      <c r="A3220" s="29">
        <f t="shared" si="54"/>
        <v>1555</v>
      </c>
      <c r="B3220" s="30">
        <v>564</v>
      </c>
      <c r="C3220" s="30">
        <v>1</v>
      </c>
      <c r="D3220" s="30">
        <v>1817</v>
      </c>
      <c r="E3220">
        <v>11922</v>
      </c>
      <c r="H3220" t="s">
        <v>850</v>
      </c>
      <c r="I3220" s="29">
        <v>1555</v>
      </c>
      <c r="J3220">
        <v>0</v>
      </c>
      <c r="K3220" s="30" t="s">
        <v>865</v>
      </c>
      <c r="L3220" s="43" t="s">
        <v>5972</v>
      </c>
      <c r="P3220" s="41">
        <v>14</v>
      </c>
      <c r="Q3220" s="41">
        <v>2</v>
      </c>
      <c r="R3220" s="41">
        <v>63</v>
      </c>
      <c r="S3220" t="s">
        <v>3321</v>
      </c>
      <c r="AH3220" t="s">
        <v>359</v>
      </c>
    </row>
    <row r="3221" spans="1:34" ht="15.75">
      <c r="A3221" s="29">
        <f t="shared" si="54"/>
        <v>2936</v>
      </c>
      <c r="B3221" s="30">
        <v>564</v>
      </c>
      <c r="C3221" s="30">
        <v>1</v>
      </c>
      <c r="D3221" s="30">
        <v>1817</v>
      </c>
      <c r="E3221">
        <v>11923</v>
      </c>
      <c r="H3221" t="s">
        <v>1549</v>
      </c>
      <c r="I3221" s="29">
        <v>2936</v>
      </c>
      <c r="J3221">
        <v>0</v>
      </c>
      <c r="K3221" s="30" t="s">
        <v>865</v>
      </c>
      <c r="L3221" s="43" t="s">
        <v>5972</v>
      </c>
      <c r="P3221" s="41">
        <v>7</v>
      </c>
      <c r="Q3221" s="41">
        <v>5</v>
      </c>
      <c r="R3221" s="41">
        <v>62</v>
      </c>
      <c r="S3221" t="s">
        <v>3321</v>
      </c>
      <c r="AH3221" t="s">
        <v>359</v>
      </c>
    </row>
    <row r="3222" spans="1:34" ht="15.75">
      <c r="A3222" s="29">
        <f t="shared" si="54"/>
        <v>147</v>
      </c>
      <c r="B3222" s="30">
        <v>564</v>
      </c>
      <c r="C3222" s="30">
        <v>1</v>
      </c>
      <c r="D3222" s="30">
        <v>1817</v>
      </c>
      <c r="E3222">
        <v>11924</v>
      </c>
      <c r="H3222" t="s">
        <v>850</v>
      </c>
      <c r="I3222" s="29">
        <v>147</v>
      </c>
      <c r="J3222">
        <v>0</v>
      </c>
      <c r="K3222" s="30" t="s">
        <v>865</v>
      </c>
      <c r="L3222" s="43" t="s">
        <v>5759</v>
      </c>
      <c r="P3222" s="41">
        <v>24</v>
      </c>
      <c r="Q3222" s="41">
        <v>5</v>
      </c>
      <c r="R3222" s="41">
        <v>31</v>
      </c>
      <c r="S3222" t="s">
        <v>850</v>
      </c>
      <c r="AH3222" t="s">
        <v>359</v>
      </c>
    </row>
    <row r="3223" spans="1:34" ht="15.75">
      <c r="A3223" s="29">
        <f t="shared" si="54"/>
        <v>198</v>
      </c>
      <c r="B3223" s="30">
        <v>564</v>
      </c>
      <c r="C3223" s="30">
        <v>1</v>
      </c>
      <c r="D3223" s="30">
        <v>1817</v>
      </c>
      <c r="E3223">
        <v>11925</v>
      </c>
      <c r="H3223" t="s">
        <v>1549</v>
      </c>
      <c r="I3223" s="29">
        <v>198</v>
      </c>
      <c r="J3223">
        <v>0</v>
      </c>
      <c r="K3223" s="30" t="s">
        <v>865</v>
      </c>
      <c r="L3223" s="43" t="s">
        <v>5759</v>
      </c>
      <c r="P3223" s="41">
        <v>14</v>
      </c>
      <c r="Q3223" s="41">
        <v>3</v>
      </c>
      <c r="R3223" s="41">
        <v>59</v>
      </c>
      <c r="S3223" t="s">
        <v>3321</v>
      </c>
      <c r="AH3223" t="s">
        <v>359</v>
      </c>
    </row>
    <row r="3224" spans="1:34" ht="15.75">
      <c r="A3224" s="29">
        <f t="shared" si="54"/>
        <v>5087</v>
      </c>
      <c r="B3224" s="30">
        <v>564</v>
      </c>
      <c r="C3224" s="30">
        <v>1</v>
      </c>
      <c r="D3224" s="30">
        <v>1817</v>
      </c>
      <c r="E3224">
        <v>11926</v>
      </c>
      <c r="H3224" t="s">
        <v>850</v>
      </c>
      <c r="I3224" s="29">
        <v>647</v>
      </c>
      <c r="J3224" s="29">
        <v>222</v>
      </c>
      <c r="K3224" s="30" t="s">
        <v>865</v>
      </c>
      <c r="L3224" s="43" t="s">
        <v>104</v>
      </c>
      <c r="M3224" s="41" t="s">
        <v>105</v>
      </c>
      <c r="O3224" s="41" t="s">
        <v>101</v>
      </c>
      <c r="P3224" s="41">
        <v>6</v>
      </c>
      <c r="Q3224" s="41">
        <v>5</v>
      </c>
      <c r="R3224" s="41">
        <v>21</v>
      </c>
      <c r="S3224" t="s">
        <v>106</v>
      </c>
      <c r="T3224" t="s">
        <v>5766</v>
      </c>
      <c r="V3224" t="s">
        <v>3091</v>
      </c>
      <c r="X3224">
        <v>1</v>
      </c>
      <c r="Y3224" t="s">
        <v>107</v>
      </c>
      <c r="AH3224" t="s">
        <v>359</v>
      </c>
    </row>
    <row r="3225" spans="1:34" ht="15.75">
      <c r="A3225" s="29">
        <f t="shared" si="54"/>
        <v>8522</v>
      </c>
      <c r="B3225" s="30">
        <v>564</v>
      </c>
      <c r="C3225" s="30">
        <v>1</v>
      </c>
      <c r="D3225" s="30">
        <v>1817</v>
      </c>
      <c r="E3225">
        <v>11928</v>
      </c>
      <c r="H3225" t="s">
        <v>1549</v>
      </c>
      <c r="I3225" s="29">
        <f>7772+750</f>
        <v>8522</v>
      </c>
      <c r="J3225" s="29">
        <v>0</v>
      </c>
      <c r="K3225" s="30" t="s">
        <v>865</v>
      </c>
      <c r="L3225" s="43" t="s">
        <v>5759</v>
      </c>
      <c r="P3225" s="41">
        <v>31</v>
      </c>
      <c r="Q3225" s="41">
        <v>1</v>
      </c>
      <c r="R3225" s="41" t="s">
        <v>1547</v>
      </c>
      <c r="S3225" t="s">
        <v>3321</v>
      </c>
      <c r="AH3225" t="s">
        <v>359</v>
      </c>
    </row>
    <row r="3226" spans="1:34" ht="15.75">
      <c r="A3226" s="29">
        <f t="shared" si="54"/>
        <v>9384</v>
      </c>
      <c r="B3226" s="30">
        <v>565</v>
      </c>
      <c r="C3226" s="30">
        <v>1</v>
      </c>
      <c r="D3226" s="30">
        <v>1817</v>
      </c>
      <c r="E3226">
        <v>11947</v>
      </c>
      <c r="H3226" t="s">
        <v>1540</v>
      </c>
      <c r="I3226" s="30">
        <f>7342+2042</f>
        <v>9384</v>
      </c>
      <c r="J3226" s="30">
        <v>0</v>
      </c>
      <c r="K3226" s="30" t="s">
        <v>865</v>
      </c>
      <c r="L3226" s="43" t="s">
        <v>1476</v>
      </c>
      <c r="P3226" s="41">
        <v>16</v>
      </c>
      <c r="Q3226" s="41">
        <v>9</v>
      </c>
      <c r="R3226" s="41">
        <v>40</v>
      </c>
      <c r="S3226" t="s">
        <v>3321</v>
      </c>
      <c r="AH3226" t="s">
        <v>359</v>
      </c>
    </row>
    <row r="3227" spans="1:34" ht="15.75">
      <c r="A3227" s="29">
        <f t="shared" si="54"/>
        <v>1286</v>
      </c>
      <c r="B3227" s="30">
        <v>565</v>
      </c>
      <c r="C3227" s="30">
        <v>1</v>
      </c>
      <c r="D3227" s="30">
        <v>1817</v>
      </c>
      <c r="E3227">
        <v>11948</v>
      </c>
      <c r="H3227" t="s">
        <v>1541</v>
      </c>
      <c r="I3227" s="30">
        <v>1286</v>
      </c>
      <c r="J3227" s="30">
        <v>0</v>
      </c>
      <c r="K3227" s="30" t="s">
        <v>865</v>
      </c>
      <c r="L3227" s="43" t="s">
        <v>110</v>
      </c>
      <c r="P3227" s="41">
        <v>15</v>
      </c>
      <c r="Q3227" s="41">
        <v>4</v>
      </c>
      <c r="R3227" s="41">
        <v>44</v>
      </c>
      <c r="S3227" t="s">
        <v>3321</v>
      </c>
      <c r="AH3227" t="s">
        <v>359</v>
      </c>
    </row>
    <row r="3228" spans="1:34" ht="15.75">
      <c r="A3228" s="29">
        <f t="shared" si="54"/>
        <v>24</v>
      </c>
      <c r="B3228" s="30">
        <v>565</v>
      </c>
      <c r="C3228" s="30">
        <v>1</v>
      </c>
      <c r="D3228" s="30">
        <v>1817</v>
      </c>
      <c r="E3228">
        <v>11949</v>
      </c>
      <c r="H3228" t="s">
        <v>1540</v>
      </c>
      <c r="I3228" s="30">
        <v>24</v>
      </c>
      <c r="J3228" s="30">
        <v>0</v>
      </c>
      <c r="K3228" s="30" t="s">
        <v>865</v>
      </c>
      <c r="L3228" s="43" t="s">
        <v>1436</v>
      </c>
      <c r="P3228" s="41">
        <v>3</v>
      </c>
      <c r="Q3228" s="41">
        <v>6</v>
      </c>
      <c r="R3228" s="41" t="s">
        <v>1547</v>
      </c>
      <c r="S3228" t="s">
        <v>1547</v>
      </c>
      <c r="AH3228" t="s">
        <v>359</v>
      </c>
    </row>
    <row r="3229" spans="1:34" ht="15.75">
      <c r="A3229" s="29">
        <f t="shared" si="54"/>
        <v>1031</v>
      </c>
      <c r="B3229" s="30">
        <v>565</v>
      </c>
      <c r="C3229" s="30">
        <v>1</v>
      </c>
      <c r="D3229" s="30">
        <v>1817</v>
      </c>
      <c r="E3229">
        <v>11950</v>
      </c>
      <c r="H3229" t="s">
        <v>1541</v>
      </c>
      <c r="I3229" s="30">
        <f>981+50</f>
        <v>1031</v>
      </c>
      <c r="J3229" s="30">
        <v>0</v>
      </c>
      <c r="K3229" s="30" t="s">
        <v>865</v>
      </c>
      <c r="L3229" s="43" t="s">
        <v>1436</v>
      </c>
      <c r="P3229" s="41">
        <v>20</v>
      </c>
      <c r="Q3229" s="41">
        <v>10</v>
      </c>
      <c r="R3229" s="41" t="s">
        <v>1547</v>
      </c>
      <c r="S3229" t="s">
        <v>3321</v>
      </c>
      <c r="AH3229" t="s">
        <v>359</v>
      </c>
    </row>
    <row r="3230" spans="1:34" ht="15.75">
      <c r="A3230" s="29">
        <f t="shared" si="54"/>
        <v>7924</v>
      </c>
      <c r="B3230" s="30">
        <v>565</v>
      </c>
      <c r="C3230" s="30">
        <v>1</v>
      </c>
      <c r="D3230" s="30">
        <v>1817</v>
      </c>
      <c r="E3230">
        <v>11951</v>
      </c>
      <c r="H3230" t="s">
        <v>1541</v>
      </c>
      <c r="I3230" s="30">
        <f>7324+600</f>
        <v>7924</v>
      </c>
      <c r="J3230" s="30">
        <v>0</v>
      </c>
      <c r="K3230" s="30" t="s">
        <v>865</v>
      </c>
      <c r="L3230" s="43" t="s">
        <v>1437</v>
      </c>
      <c r="P3230" s="41">
        <v>11</v>
      </c>
      <c r="Q3230" s="41">
        <v>8</v>
      </c>
      <c r="R3230" s="41">
        <v>68</v>
      </c>
      <c r="S3230" t="s">
        <v>3321</v>
      </c>
      <c r="AH3230" t="s">
        <v>359</v>
      </c>
    </row>
    <row r="3231" spans="1:34" ht="15.75">
      <c r="A3231" s="29">
        <f t="shared" si="54"/>
        <v>24</v>
      </c>
      <c r="B3231" s="30">
        <v>565</v>
      </c>
      <c r="C3231" s="30">
        <v>1</v>
      </c>
      <c r="D3231" s="30">
        <v>1817</v>
      </c>
      <c r="E3231">
        <v>11952</v>
      </c>
      <c r="H3231" t="s">
        <v>1541</v>
      </c>
      <c r="I3231" s="30">
        <v>24</v>
      </c>
      <c r="J3231" s="30">
        <v>0</v>
      </c>
      <c r="K3231" s="30" t="s">
        <v>865</v>
      </c>
      <c r="L3231" s="43" t="s">
        <v>1438</v>
      </c>
      <c r="P3231" s="41">
        <v>12</v>
      </c>
      <c r="Q3231" s="41">
        <v>3</v>
      </c>
      <c r="R3231" s="41">
        <v>72</v>
      </c>
      <c r="S3231" t="s">
        <v>3321</v>
      </c>
      <c r="AH3231" t="s">
        <v>359</v>
      </c>
    </row>
    <row r="3232" spans="1:34" ht="15.75">
      <c r="A3232" s="29">
        <f t="shared" si="54"/>
        <v>20058</v>
      </c>
      <c r="B3232" s="31">
        <v>565</v>
      </c>
      <c r="C3232" s="31">
        <v>1</v>
      </c>
      <c r="D3232" s="31">
        <v>1817</v>
      </c>
      <c r="E3232">
        <v>11953</v>
      </c>
      <c r="F3232" s="9"/>
      <c r="G3232" s="9"/>
      <c r="H3232" s="9" t="s">
        <v>1541</v>
      </c>
      <c r="I3232" s="31">
        <f>18858+1200</f>
        <v>20058</v>
      </c>
      <c r="J3232" s="31">
        <v>0</v>
      </c>
      <c r="K3232" s="30" t="s">
        <v>865</v>
      </c>
      <c r="L3232" s="43" t="s">
        <v>2678</v>
      </c>
      <c r="M3232" s="43" t="s">
        <v>1696</v>
      </c>
      <c r="N3232" s="43"/>
      <c r="O3232" s="41" t="s">
        <v>111</v>
      </c>
      <c r="P3232" s="41">
        <v>12</v>
      </c>
      <c r="Q3232" s="41">
        <v>3</v>
      </c>
      <c r="R3232" s="41">
        <v>54</v>
      </c>
      <c r="S3232" t="s">
        <v>1718</v>
      </c>
      <c r="T3232" t="s">
        <v>112</v>
      </c>
      <c r="V3232" t="s">
        <v>5670</v>
      </c>
      <c r="AH3232" t="s">
        <v>359</v>
      </c>
    </row>
    <row r="3233" spans="1:34" ht="15.75">
      <c r="A3233" s="29">
        <f t="shared" si="54"/>
        <v>61</v>
      </c>
      <c r="B3233" s="30">
        <v>565</v>
      </c>
      <c r="C3233" s="30">
        <v>1</v>
      </c>
      <c r="D3233" s="30">
        <v>1817</v>
      </c>
      <c r="E3233">
        <v>11954</v>
      </c>
      <c r="H3233" t="s">
        <v>1541</v>
      </c>
      <c r="I3233" s="30">
        <v>61</v>
      </c>
      <c r="J3233" s="30">
        <v>0</v>
      </c>
      <c r="K3233" s="30" t="s">
        <v>865</v>
      </c>
      <c r="L3233" s="43" t="s">
        <v>1479</v>
      </c>
      <c r="P3233" s="41">
        <v>13</v>
      </c>
      <c r="Q3233" s="41">
        <v>7</v>
      </c>
      <c r="R3233" s="41">
        <v>42</v>
      </c>
      <c r="S3233" t="s">
        <v>3321</v>
      </c>
      <c r="AH3233" t="s">
        <v>359</v>
      </c>
    </row>
    <row r="3234" spans="1:34" ht="15.75">
      <c r="A3234" s="29">
        <f t="shared" si="54"/>
        <v>316</v>
      </c>
      <c r="B3234" s="30">
        <v>565</v>
      </c>
      <c r="C3234" s="30">
        <v>1</v>
      </c>
      <c r="D3234" s="30">
        <v>1817</v>
      </c>
      <c r="E3234">
        <v>11955</v>
      </c>
      <c r="H3234" t="s">
        <v>1540</v>
      </c>
      <c r="I3234" s="30">
        <v>316</v>
      </c>
      <c r="J3234" s="30">
        <v>0</v>
      </c>
      <c r="K3234" s="30" t="s">
        <v>865</v>
      </c>
      <c r="L3234" s="43" t="s">
        <v>1479</v>
      </c>
      <c r="P3234" s="41">
        <v>10</v>
      </c>
      <c r="Q3234" s="41">
        <v>12</v>
      </c>
      <c r="R3234" s="41" t="s">
        <v>1547</v>
      </c>
      <c r="S3234" t="s">
        <v>1547</v>
      </c>
      <c r="AH3234" t="s">
        <v>359</v>
      </c>
    </row>
    <row r="3235" spans="1:34" ht="15.75">
      <c r="A3235" s="29">
        <f t="shared" si="54"/>
        <v>141</v>
      </c>
      <c r="B3235" s="30">
        <v>566</v>
      </c>
      <c r="C3235" s="30">
        <v>1</v>
      </c>
      <c r="D3235" s="30">
        <v>1817</v>
      </c>
      <c r="E3235">
        <v>11973</v>
      </c>
      <c r="H3235" t="s">
        <v>1540</v>
      </c>
      <c r="I3235" s="30">
        <v>141</v>
      </c>
      <c r="J3235" s="30">
        <v>0</v>
      </c>
      <c r="K3235" s="30" t="s">
        <v>865</v>
      </c>
      <c r="L3235" s="43" t="s">
        <v>5980</v>
      </c>
      <c r="P3235" s="41">
        <v>11</v>
      </c>
      <c r="Q3235" s="41">
        <v>5</v>
      </c>
      <c r="R3235" s="41" t="s">
        <v>1547</v>
      </c>
      <c r="S3235" t="s">
        <v>1547</v>
      </c>
      <c r="AH3235" t="s">
        <v>359</v>
      </c>
    </row>
    <row r="3236" spans="1:34" ht="15.75">
      <c r="A3236" s="29">
        <f t="shared" si="54"/>
        <v>134435</v>
      </c>
      <c r="B3236" s="30">
        <v>566</v>
      </c>
      <c r="C3236" s="30">
        <v>1</v>
      </c>
      <c r="D3236" s="30">
        <v>1817</v>
      </c>
      <c r="E3236">
        <v>11974</v>
      </c>
      <c r="H3236" t="s">
        <v>1541</v>
      </c>
      <c r="I3236" s="30">
        <v>134435</v>
      </c>
      <c r="J3236" s="30">
        <v>0</v>
      </c>
      <c r="K3236" s="30" t="s">
        <v>865</v>
      </c>
      <c r="L3236" s="43" t="s">
        <v>113</v>
      </c>
      <c r="M3236" s="41" t="s">
        <v>114</v>
      </c>
      <c r="O3236" s="41" t="s">
        <v>115</v>
      </c>
      <c r="P3236" s="41">
        <v>6</v>
      </c>
      <c r="Q3236" s="41">
        <v>12</v>
      </c>
      <c r="R3236" s="41">
        <v>28</v>
      </c>
      <c r="S3236" t="s">
        <v>116</v>
      </c>
      <c r="T3236" t="s">
        <v>117</v>
      </c>
      <c r="V3236" t="s">
        <v>4436</v>
      </c>
      <c r="AH3236" t="s">
        <v>359</v>
      </c>
    </row>
    <row r="3237" spans="1:34" ht="15.75">
      <c r="A3237" s="29">
        <f t="shared" si="54"/>
        <v>1913</v>
      </c>
      <c r="B3237" s="30">
        <v>566</v>
      </c>
      <c r="C3237" s="30">
        <v>1</v>
      </c>
      <c r="D3237" s="30">
        <v>1817</v>
      </c>
      <c r="E3237">
        <v>11975</v>
      </c>
      <c r="H3237" t="s">
        <v>1541</v>
      </c>
      <c r="I3237" s="30">
        <v>1913</v>
      </c>
      <c r="J3237" s="30">
        <v>0</v>
      </c>
      <c r="K3237" s="30" t="s">
        <v>865</v>
      </c>
      <c r="L3237" s="43" t="s">
        <v>2694</v>
      </c>
      <c r="P3237" s="41">
        <v>31</v>
      </c>
      <c r="Q3237" s="41">
        <v>10</v>
      </c>
      <c r="R3237" s="41">
        <v>63</v>
      </c>
      <c r="S3237" t="s">
        <v>3321</v>
      </c>
      <c r="AH3237" t="s">
        <v>359</v>
      </c>
    </row>
    <row r="3238" spans="1:34" ht="15">
      <c r="A3238" s="29">
        <f t="shared" si="54"/>
        <v>577</v>
      </c>
      <c r="B3238">
        <v>566</v>
      </c>
      <c r="E3238">
        <v>11976</v>
      </c>
      <c r="H3238" t="s">
        <v>850</v>
      </c>
      <c r="I3238">
        <v>577</v>
      </c>
      <c r="J3238">
        <v>0</v>
      </c>
      <c r="K3238" t="s">
        <v>865</v>
      </c>
      <c r="L3238" s="43" t="s">
        <v>5983</v>
      </c>
      <c r="P3238" s="41">
        <v>5</v>
      </c>
      <c r="Q3238" s="41">
        <v>12</v>
      </c>
      <c r="R3238" s="41">
        <v>32</v>
      </c>
      <c r="S3238" t="s">
        <v>3321</v>
      </c>
      <c r="AH3238" t="s">
        <v>359</v>
      </c>
    </row>
    <row r="3239" spans="1:34" ht="15.75">
      <c r="A3239" s="29">
        <f t="shared" si="54"/>
        <v>76</v>
      </c>
      <c r="B3239" s="30">
        <v>566</v>
      </c>
      <c r="C3239" s="30">
        <v>1</v>
      </c>
      <c r="D3239" s="30">
        <v>1817</v>
      </c>
      <c r="E3239">
        <v>11978</v>
      </c>
      <c r="H3239" t="s">
        <v>1541</v>
      </c>
      <c r="I3239" s="30">
        <v>76</v>
      </c>
      <c r="J3239" s="30">
        <v>0</v>
      </c>
      <c r="K3239" s="30" t="s">
        <v>865</v>
      </c>
      <c r="L3239" s="43" t="s">
        <v>1486</v>
      </c>
      <c r="P3239" s="41">
        <v>5</v>
      </c>
      <c r="Q3239" s="41">
        <v>6</v>
      </c>
      <c r="R3239" s="41">
        <v>18</v>
      </c>
      <c r="S3239" t="s">
        <v>850</v>
      </c>
      <c r="AH3239" t="s">
        <v>359</v>
      </c>
    </row>
    <row r="3240" spans="1:34" ht="15.75">
      <c r="A3240" s="29">
        <f t="shared" si="54"/>
        <v>17927</v>
      </c>
      <c r="B3240" s="30">
        <v>566</v>
      </c>
      <c r="C3240" s="30"/>
      <c r="D3240" s="30"/>
      <c r="E3240">
        <v>11979</v>
      </c>
      <c r="H3240" t="s">
        <v>850</v>
      </c>
      <c r="I3240" s="30">
        <v>17927</v>
      </c>
      <c r="J3240" s="30">
        <v>0</v>
      </c>
      <c r="K3240" s="30" t="s">
        <v>865</v>
      </c>
      <c r="L3240" s="43" t="s">
        <v>1482</v>
      </c>
      <c r="P3240" s="41">
        <v>25</v>
      </c>
      <c r="Q3240" s="41">
        <v>2</v>
      </c>
      <c r="R3240" s="41">
        <v>33</v>
      </c>
      <c r="S3240" t="s">
        <v>850</v>
      </c>
      <c r="AH3240" t="s">
        <v>359</v>
      </c>
    </row>
    <row r="3241" spans="1:34" ht="15.75">
      <c r="A3241" s="29">
        <f t="shared" si="54"/>
        <v>35870</v>
      </c>
      <c r="B3241" s="30">
        <v>566</v>
      </c>
      <c r="C3241" s="30"/>
      <c r="D3241" s="30"/>
      <c r="E3241">
        <v>11980</v>
      </c>
      <c r="H3241" t="s">
        <v>1549</v>
      </c>
      <c r="I3241" s="30">
        <v>870</v>
      </c>
      <c r="J3241" s="30">
        <v>3500</v>
      </c>
      <c r="K3241" s="30" t="s">
        <v>865</v>
      </c>
      <c r="L3241" s="43" t="s">
        <v>121</v>
      </c>
      <c r="M3241" s="41" t="s">
        <v>2776</v>
      </c>
      <c r="N3241" s="41" t="s">
        <v>4212</v>
      </c>
      <c r="O3241" s="41" t="s">
        <v>122</v>
      </c>
      <c r="P3241" s="41">
        <v>6</v>
      </c>
      <c r="Q3241" s="41">
        <v>4</v>
      </c>
      <c r="R3241" s="41">
        <v>78</v>
      </c>
      <c r="S3241" t="s">
        <v>3321</v>
      </c>
      <c r="T3241" t="s">
        <v>2206</v>
      </c>
      <c r="V3241" t="s">
        <v>3212</v>
      </c>
      <c r="X3241">
        <v>0.5</v>
      </c>
      <c r="Y3241" t="s">
        <v>122</v>
      </c>
      <c r="AH3241" t="s">
        <v>359</v>
      </c>
    </row>
    <row r="3242" spans="1:34" ht="15.75">
      <c r="A3242" s="29">
        <f t="shared" si="54"/>
        <v>55</v>
      </c>
      <c r="B3242" s="30">
        <v>566</v>
      </c>
      <c r="C3242" s="30">
        <v>1</v>
      </c>
      <c r="D3242" s="30">
        <v>1817</v>
      </c>
      <c r="E3242">
        <v>11981</v>
      </c>
      <c r="H3242" t="s">
        <v>1541</v>
      </c>
      <c r="I3242" s="30">
        <v>55</v>
      </c>
      <c r="J3242" s="30">
        <v>0</v>
      </c>
      <c r="K3242" s="30" t="s">
        <v>865</v>
      </c>
      <c r="L3242" s="43" t="s">
        <v>1447</v>
      </c>
      <c r="P3242" s="41">
        <v>29</v>
      </c>
      <c r="Q3242" s="41">
        <v>4</v>
      </c>
      <c r="R3242" s="41">
        <v>49</v>
      </c>
      <c r="S3242" t="s">
        <v>874</v>
      </c>
      <c r="AH3242" t="s">
        <v>359</v>
      </c>
    </row>
    <row r="3243" spans="1:34" ht="15.75">
      <c r="A3243" s="29">
        <f t="shared" si="54"/>
        <v>51</v>
      </c>
      <c r="B3243" s="30">
        <v>566</v>
      </c>
      <c r="C3243" s="30">
        <v>1</v>
      </c>
      <c r="D3243" s="30">
        <v>1817</v>
      </c>
      <c r="E3243">
        <v>11982</v>
      </c>
      <c r="H3243" t="s">
        <v>1541</v>
      </c>
      <c r="I3243" s="30">
        <v>51</v>
      </c>
      <c r="J3243" s="30">
        <v>0</v>
      </c>
      <c r="K3243" s="30" t="s">
        <v>865</v>
      </c>
      <c r="L3243" s="43" t="s">
        <v>1449</v>
      </c>
      <c r="P3243" s="41">
        <v>23</v>
      </c>
      <c r="Q3243" s="41">
        <v>4</v>
      </c>
      <c r="R3243" s="41">
        <v>74</v>
      </c>
      <c r="S3243" t="s">
        <v>3321</v>
      </c>
      <c r="AH3243" t="s">
        <v>359</v>
      </c>
    </row>
    <row r="3244" spans="1:34" ht="15.75">
      <c r="A3244" s="29">
        <f t="shared" si="54"/>
        <v>174044</v>
      </c>
      <c r="B3244" s="30">
        <v>567</v>
      </c>
      <c r="C3244" s="30">
        <v>1</v>
      </c>
      <c r="D3244" s="30">
        <v>1817</v>
      </c>
      <c r="E3244">
        <v>12002</v>
      </c>
      <c r="H3244" t="s">
        <v>1540</v>
      </c>
      <c r="I3244" s="30">
        <f>149353+24691</f>
        <v>174044</v>
      </c>
      <c r="J3244" s="30">
        <v>0</v>
      </c>
      <c r="K3244" s="30" t="s">
        <v>865</v>
      </c>
      <c r="L3244" s="43" t="s">
        <v>123</v>
      </c>
      <c r="M3244" s="41" t="s">
        <v>4254</v>
      </c>
      <c r="N3244" s="41" t="s">
        <v>1551</v>
      </c>
      <c r="O3244" s="41" t="s">
        <v>124</v>
      </c>
      <c r="P3244" s="41">
        <v>29</v>
      </c>
      <c r="Q3244" s="41">
        <v>6</v>
      </c>
      <c r="R3244" s="41">
        <v>66</v>
      </c>
      <c r="S3244" t="s">
        <v>125</v>
      </c>
      <c r="T3244" t="s">
        <v>369</v>
      </c>
      <c r="V3244" t="s">
        <v>126</v>
      </c>
      <c r="AH3244" t="s">
        <v>359</v>
      </c>
    </row>
    <row r="3245" spans="1:34" ht="15.75">
      <c r="A3245" s="29">
        <f t="shared" si="54"/>
        <v>34</v>
      </c>
      <c r="B3245" s="30">
        <v>567</v>
      </c>
      <c r="C3245" s="30">
        <v>1</v>
      </c>
      <c r="D3245" s="30">
        <v>1817</v>
      </c>
      <c r="E3245">
        <v>12003</v>
      </c>
      <c r="H3245" t="s">
        <v>1540</v>
      </c>
      <c r="I3245" s="30">
        <v>34</v>
      </c>
      <c r="J3245" s="30">
        <v>0</v>
      </c>
      <c r="K3245" s="30" t="s">
        <v>865</v>
      </c>
      <c r="L3245" s="43" t="s">
        <v>127</v>
      </c>
      <c r="P3245" s="41">
        <v>9</v>
      </c>
      <c r="Q3245" s="41">
        <v>9</v>
      </c>
      <c r="R3245" s="41">
        <v>52</v>
      </c>
      <c r="S3245" t="s">
        <v>3321</v>
      </c>
      <c r="AH3245" t="s">
        <v>359</v>
      </c>
    </row>
    <row r="3246" spans="1:34" ht="15.75">
      <c r="A3246" s="29">
        <f t="shared" si="54"/>
        <v>116</v>
      </c>
      <c r="B3246" s="30">
        <v>567</v>
      </c>
      <c r="C3246" s="30">
        <v>1</v>
      </c>
      <c r="D3246" s="30">
        <v>1817</v>
      </c>
      <c r="E3246">
        <v>12005</v>
      </c>
      <c r="H3246" t="s">
        <v>1541</v>
      </c>
      <c r="I3246" s="30">
        <v>116</v>
      </c>
      <c r="J3246" s="30">
        <v>0</v>
      </c>
      <c r="K3246" s="30" t="s">
        <v>865</v>
      </c>
      <c r="L3246" s="43" t="s">
        <v>1483</v>
      </c>
      <c r="P3246" s="41">
        <v>16</v>
      </c>
      <c r="Q3246" s="41">
        <v>2</v>
      </c>
      <c r="R3246" s="41">
        <v>61</v>
      </c>
      <c r="S3246" t="s">
        <v>3321</v>
      </c>
      <c r="AH3246" t="s">
        <v>359</v>
      </c>
    </row>
    <row r="3247" spans="1:34" ht="15.75">
      <c r="A3247" s="29">
        <f t="shared" si="54"/>
        <v>132</v>
      </c>
      <c r="B3247" s="30">
        <v>567</v>
      </c>
      <c r="C3247" s="30">
        <v>1</v>
      </c>
      <c r="D3247" s="30">
        <v>1817</v>
      </c>
      <c r="E3247">
        <v>12006</v>
      </c>
      <c r="H3247" t="s">
        <v>1540</v>
      </c>
      <c r="I3247" s="30">
        <v>132</v>
      </c>
      <c r="J3247" s="30">
        <v>0</v>
      </c>
      <c r="K3247" s="30" t="s">
        <v>1549</v>
      </c>
      <c r="L3247" s="43" t="s">
        <v>1466</v>
      </c>
      <c r="P3247" s="41">
        <v>26</v>
      </c>
      <c r="Q3247" s="41">
        <v>2</v>
      </c>
      <c r="R3247" s="41" t="s">
        <v>1547</v>
      </c>
      <c r="S3247" t="s">
        <v>3321</v>
      </c>
      <c r="AH3247" t="s">
        <v>359</v>
      </c>
    </row>
    <row r="3248" spans="1:34" ht="15.75">
      <c r="A3248" s="29">
        <f t="shared" si="54"/>
        <v>5197</v>
      </c>
      <c r="B3248" s="30">
        <v>567</v>
      </c>
      <c r="C3248" s="30">
        <v>1</v>
      </c>
      <c r="D3248" s="30">
        <v>1817</v>
      </c>
      <c r="E3248">
        <v>12007</v>
      </c>
      <c r="H3248" t="s">
        <v>1540</v>
      </c>
      <c r="I3248" s="30">
        <v>5197</v>
      </c>
      <c r="J3248" s="30">
        <v>0</v>
      </c>
      <c r="K3248" s="30" t="s">
        <v>1549</v>
      </c>
      <c r="L3248" s="43" t="s">
        <v>3693</v>
      </c>
      <c r="P3248" s="41">
        <v>28</v>
      </c>
      <c r="Q3248" s="41">
        <v>4</v>
      </c>
      <c r="R3248" s="41">
        <v>67</v>
      </c>
      <c r="S3248" t="s">
        <v>3321</v>
      </c>
      <c r="AH3248" t="s">
        <v>359</v>
      </c>
    </row>
    <row r="3249" spans="1:34" ht="15.75">
      <c r="A3249" s="29">
        <f t="shared" si="54"/>
        <v>369</v>
      </c>
      <c r="B3249" s="30">
        <v>567</v>
      </c>
      <c r="C3249" s="30">
        <v>1</v>
      </c>
      <c r="D3249" s="30">
        <v>1817</v>
      </c>
      <c r="E3249">
        <v>12008</v>
      </c>
      <c r="H3249" t="s">
        <v>1540</v>
      </c>
      <c r="I3249" s="30">
        <v>369</v>
      </c>
      <c r="J3249" s="30">
        <v>0</v>
      </c>
      <c r="K3249" s="30" t="s">
        <v>1549</v>
      </c>
      <c r="L3249" s="43" t="s">
        <v>4880</v>
      </c>
      <c r="P3249" s="41">
        <v>12</v>
      </c>
      <c r="Q3249" s="41">
        <v>9</v>
      </c>
      <c r="R3249" s="41" t="s">
        <v>1547</v>
      </c>
      <c r="S3249" t="s">
        <v>1547</v>
      </c>
      <c r="AH3249" t="s">
        <v>359</v>
      </c>
    </row>
    <row r="3250" spans="1:34" ht="15.75">
      <c r="A3250" s="29">
        <f t="shared" si="54"/>
        <v>4458</v>
      </c>
      <c r="B3250" s="30">
        <v>568</v>
      </c>
      <c r="C3250" s="30">
        <v>1</v>
      </c>
      <c r="D3250" s="30">
        <v>1817</v>
      </c>
      <c r="E3250">
        <v>12030</v>
      </c>
      <c r="H3250" t="s">
        <v>1540</v>
      </c>
      <c r="I3250" s="30">
        <v>4458</v>
      </c>
      <c r="J3250" s="30">
        <v>0</v>
      </c>
      <c r="K3250" s="30" t="s">
        <v>1549</v>
      </c>
      <c r="L3250" s="43" t="s">
        <v>1467</v>
      </c>
      <c r="P3250" s="41">
        <v>7</v>
      </c>
      <c r="Q3250" s="41">
        <v>3</v>
      </c>
      <c r="R3250" s="41">
        <v>42</v>
      </c>
      <c r="S3250" t="s">
        <v>3321</v>
      </c>
      <c r="AH3250" t="s">
        <v>359</v>
      </c>
    </row>
    <row r="3251" spans="1:34" ht="15.75">
      <c r="A3251" s="29">
        <f t="shared" si="54"/>
        <v>10364</v>
      </c>
      <c r="B3251" s="30">
        <v>568</v>
      </c>
      <c r="C3251" s="30">
        <v>1</v>
      </c>
      <c r="D3251" s="30">
        <v>1817</v>
      </c>
      <c r="E3251">
        <v>12031</v>
      </c>
      <c r="H3251" t="s">
        <v>1540</v>
      </c>
      <c r="I3251" s="30">
        <v>10364</v>
      </c>
      <c r="J3251" s="30">
        <v>0</v>
      </c>
      <c r="K3251" s="30" t="s">
        <v>1549</v>
      </c>
      <c r="L3251" s="43" t="s">
        <v>1467</v>
      </c>
      <c r="P3251" s="41">
        <v>19</v>
      </c>
      <c r="Q3251" s="41">
        <v>4</v>
      </c>
      <c r="R3251" s="41">
        <v>54</v>
      </c>
      <c r="S3251" t="s">
        <v>1547</v>
      </c>
      <c r="AH3251" t="s">
        <v>359</v>
      </c>
    </row>
    <row r="3252" spans="1:34" ht="15.75">
      <c r="A3252" s="29">
        <f t="shared" si="54"/>
        <v>21</v>
      </c>
      <c r="B3252" s="30">
        <v>568</v>
      </c>
      <c r="C3252" s="30">
        <v>1</v>
      </c>
      <c r="D3252" s="30">
        <v>1817</v>
      </c>
      <c r="E3252">
        <v>12033</v>
      </c>
      <c r="H3252" t="s">
        <v>1541</v>
      </c>
      <c r="I3252" s="30">
        <v>21</v>
      </c>
      <c r="J3252" s="30">
        <v>0</v>
      </c>
      <c r="K3252" s="30" t="s">
        <v>1549</v>
      </c>
      <c r="L3252" s="43" t="s">
        <v>1487</v>
      </c>
      <c r="P3252" s="41">
        <v>7</v>
      </c>
      <c r="Q3252" s="41">
        <v>6</v>
      </c>
      <c r="R3252" s="41">
        <v>42</v>
      </c>
      <c r="S3252" t="s">
        <v>874</v>
      </c>
      <c r="AH3252" t="s">
        <v>359</v>
      </c>
    </row>
    <row r="3253" spans="1:34" ht="15.75">
      <c r="A3253" s="29">
        <f t="shared" si="54"/>
        <v>12</v>
      </c>
      <c r="B3253" s="30">
        <v>568</v>
      </c>
      <c r="C3253" s="30">
        <v>1</v>
      </c>
      <c r="D3253" s="30">
        <v>1817</v>
      </c>
      <c r="E3253">
        <v>12034</v>
      </c>
      <c r="H3253" t="s">
        <v>1541</v>
      </c>
      <c r="I3253" s="30">
        <v>12</v>
      </c>
      <c r="J3253" s="30">
        <v>0</v>
      </c>
      <c r="K3253" s="30" t="s">
        <v>1549</v>
      </c>
      <c r="L3253" s="43" t="s">
        <v>5988</v>
      </c>
      <c r="P3253" s="41">
        <v>9</v>
      </c>
      <c r="Q3253" s="41">
        <v>10</v>
      </c>
      <c r="R3253" s="41">
        <v>61</v>
      </c>
      <c r="S3253" t="s">
        <v>874</v>
      </c>
      <c r="AH3253" t="s">
        <v>359</v>
      </c>
    </row>
    <row r="3254" spans="1:34" ht="15.75">
      <c r="A3254" s="29">
        <f t="shared" si="54"/>
        <v>132</v>
      </c>
      <c r="B3254" s="30">
        <v>568</v>
      </c>
      <c r="C3254" s="30">
        <v>1</v>
      </c>
      <c r="D3254" s="30">
        <v>1817</v>
      </c>
      <c r="E3254">
        <v>12038</v>
      </c>
      <c r="H3254" t="s">
        <v>1540</v>
      </c>
      <c r="I3254" s="30">
        <v>132</v>
      </c>
      <c r="J3254" s="30">
        <v>0</v>
      </c>
      <c r="K3254" s="30" t="s">
        <v>1549</v>
      </c>
      <c r="L3254" s="43" t="s">
        <v>1488</v>
      </c>
      <c r="P3254" s="41">
        <v>26</v>
      </c>
      <c r="Q3254" s="41">
        <v>2</v>
      </c>
      <c r="R3254" s="41" t="s">
        <v>1547</v>
      </c>
      <c r="S3254" t="s">
        <v>3321</v>
      </c>
      <c r="AH3254" t="s">
        <v>359</v>
      </c>
    </row>
    <row r="3255" spans="1:34" ht="15.75">
      <c r="A3255" s="29">
        <f t="shared" si="54"/>
        <v>10426</v>
      </c>
      <c r="B3255" s="30">
        <v>568</v>
      </c>
      <c r="C3255" s="30">
        <v>1</v>
      </c>
      <c r="D3255" s="30">
        <v>1817</v>
      </c>
      <c r="E3255">
        <v>12039</v>
      </c>
      <c r="H3255" t="s">
        <v>1540</v>
      </c>
      <c r="I3255" s="30">
        <v>10426</v>
      </c>
      <c r="J3255" s="30">
        <v>0</v>
      </c>
      <c r="K3255" s="30" t="s">
        <v>1549</v>
      </c>
      <c r="L3255" s="43" t="s">
        <v>5008</v>
      </c>
      <c r="P3255" s="41">
        <v>31</v>
      </c>
      <c r="Q3255" s="41">
        <v>10</v>
      </c>
      <c r="R3255" s="41">
        <v>40</v>
      </c>
      <c r="S3255" t="s">
        <v>3321</v>
      </c>
      <c r="AH3255" t="s">
        <v>359</v>
      </c>
    </row>
    <row r="3256" spans="1:34" ht="15.75">
      <c r="A3256" s="29">
        <f t="shared" si="54"/>
        <v>200</v>
      </c>
      <c r="B3256" s="30">
        <v>568</v>
      </c>
      <c r="C3256" s="30">
        <v>1</v>
      </c>
      <c r="D3256" s="30">
        <v>1817</v>
      </c>
      <c r="E3256">
        <v>12040</v>
      </c>
      <c r="H3256" t="s">
        <v>1540</v>
      </c>
      <c r="I3256" s="30">
        <v>200</v>
      </c>
      <c r="J3256" s="30">
        <v>0</v>
      </c>
      <c r="K3256" s="30" t="s">
        <v>1549</v>
      </c>
      <c r="L3256" s="43" t="s">
        <v>3323</v>
      </c>
      <c r="P3256" s="41">
        <v>22</v>
      </c>
      <c r="Q3256" s="41">
        <v>4</v>
      </c>
      <c r="R3256" s="41">
        <v>58</v>
      </c>
      <c r="S3256" t="s">
        <v>3321</v>
      </c>
      <c r="AH3256" t="s">
        <v>359</v>
      </c>
    </row>
    <row r="3257" spans="1:34" ht="15.75">
      <c r="A3257" s="29">
        <f t="shared" si="54"/>
        <v>658</v>
      </c>
      <c r="B3257" s="30">
        <v>569</v>
      </c>
      <c r="C3257" s="30">
        <v>1</v>
      </c>
      <c r="D3257" s="30">
        <v>1817</v>
      </c>
      <c r="E3257">
        <v>12075</v>
      </c>
      <c r="H3257" t="s">
        <v>1540</v>
      </c>
      <c r="I3257" s="30">
        <v>658</v>
      </c>
      <c r="J3257" s="30">
        <v>0</v>
      </c>
      <c r="K3257" s="30" t="s">
        <v>1549</v>
      </c>
      <c r="L3257" s="43" t="s">
        <v>3326</v>
      </c>
      <c r="P3257" s="41">
        <v>18</v>
      </c>
      <c r="Q3257" s="41">
        <v>8</v>
      </c>
      <c r="R3257" s="41" t="s">
        <v>1547</v>
      </c>
      <c r="S3257" t="s">
        <v>3321</v>
      </c>
      <c r="U3257" t="s">
        <v>139</v>
      </c>
      <c r="AH3257" t="s">
        <v>359</v>
      </c>
    </row>
    <row r="3258" spans="1:34" ht="15.75">
      <c r="A3258" s="29">
        <f t="shared" si="54"/>
        <v>269</v>
      </c>
      <c r="B3258" s="30">
        <v>569</v>
      </c>
      <c r="C3258" s="30">
        <v>1</v>
      </c>
      <c r="D3258" s="30">
        <v>1817</v>
      </c>
      <c r="E3258">
        <v>12076</v>
      </c>
      <c r="H3258" t="s">
        <v>1541</v>
      </c>
      <c r="I3258" s="30">
        <v>269</v>
      </c>
      <c r="J3258" s="30">
        <v>0</v>
      </c>
      <c r="K3258" s="30" t="s">
        <v>1549</v>
      </c>
      <c r="L3258" s="43" t="s">
        <v>4925</v>
      </c>
      <c r="P3258" s="41">
        <v>9</v>
      </c>
      <c r="Q3258" s="41">
        <v>1</v>
      </c>
      <c r="R3258" s="41">
        <v>41</v>
      </c>
      <c r="S3258" t="s">
        <v>3321</v>
      </c>
      <c r="AH3258" t="s">
        <v>359</v>
      </c>
    </row>
    <row r="3259" spans="1:34" ht="15.75">
      <c r="A3259" s="29">
        <f t="shared" si="54"/>
        <v>5111</v>
      </c>
      <c r="B3259" s="30">
        <v>569</v>
      </c>
      <c r="C3259" s="30">
        <v>1</v>
      </c>
      <c r="D3259" s="30">
        <v>1817</v>
      </c>
      <c r="E3259">
        <v>12077</v>
      </c>
      <c r="H3259" t="s">
        <v>1540</v>
      </c>
      <c r="I3259" s="30">
        <v>5111</v>
      </c>
      <c r="J3259" s="30">
        <v>0</v>
      </c>
      <c r="K3259" s="30" t="s">
        <v>1277</v>
      </c>
      <c r="L3259" s="43" t="s">
        <v>3330</v>
      </c>
      <c r="P3259" s="41">
        <v>22</v>
      </c>
      <c r="Q3259" s="41">
        <v>1</v>
      </c>
      <c r="R3259" s="41">
        <v>39</v>
      </c>
      <c r="S3259" t="s">
        <v>3321</v>
      </c>
      <c r="AH3259" t="s">
        <v>359</v>
      </c>
    </row>
    <row r="3260" spans="1:34" ht="15.75">
      <c r="A3260" s="29">
        <f t="shared" si="54"/>
        <v>35</v>
      </c>
      <c r="B3260" s="30">
        <v>569</v>
      </c>
      <c r="C3260" s="30">
        <v>1</v>
      </c>
      <c r="D3260" s="30">
        <v>1817</v>
      </c>
      <c r="E3260">
        <v>12078</v>
      </c>
      <c r="H3260" t="s">
        <v>1541</v>
      </c>
      <c r="I3260" s="30">
        <v>35</v>
      </c>
      <c r="J3260" s="30">
        <v>0</v>
      </c>
      <c r="K3260" s="30" t="s">
        <v>1277</v>
      </c>
      <c r="L3260" s="43" t="s">
        <v>3330</v>
      </c>
      <c r="P3260" s="41">
        <v>26</v>
      </c>
      <c r="Q3260" s="41">
        <v>3</v>
      </c>
      <c r="R3260" s="41" t="s">
        <v>1547</v>
      </c>
      <c r="S3260" t="s">
        <v>850</v>
      </c>
      <c r="AH3260" t="s">
        <v>359</v>
      </c>
    </row>
    <row r="3261" spans="1:34" ht="15.75">
      <c r="A3261" s="29">
        <f t="shared" si="54"/>
        <v>362</v>
      </c>
      <c r="B3261" s="30">
        <v>569</v>
      </c>
      <c r="C3261" s="30">
        <v>1</v>
      </c>
      <c r="D3261" s="30">
        <v>1817</v>
      </c>
      <c r="E3261">
        <v>12079</v>
      </c>
      <c r="H3261" t="s">
        <v>1541</v>
      </c>
      <c r="I3261" s="30">
        <v>362</v>
      </c>
      <c r="J3261" s="30">
        <v>0</v>
      </c>
      <c r="K3261" s="30" t="s">
        <v>1277</v>
      </c>
      <c r="L3261" s="43" t="s">
        <v>2710</v>
      </c>
      <c r="P3261" s="41">
        <v>7</v>
      </c>
      <c r="Q3261" s="41">
        <v>5</v>
      </c>
      <c r="R3261" s="41">
        <v>56</v>
      </c>
      <c r="S3261" t="s">
        <v>850</v>
      </c>
      <c r="AH3261" t="s">
        <v>359</v>
      </c>
    </row>
    <row r="3262" spans="1:34" ht="15.75">
      <c r="A3262" s="29">
        <f t="shared" si="54"/>
        <v>224</v>
      </c>
      <c r="B3262" s="30">
        <v>570</v>
      </c>
      <c r="C3262" s="30"/>
      <c r="D3262" s="30"/>
      <c r="E3262">
        <v>12095</v>
      </c>
      <c r="H3262" t="s">
        <v>850</v>
      </c>
      <c r="I3262" s="30">
        <v>224</v>
      </c>
      <c r="J3262" s="30">
        <v>0</v>
      </c>
      <c r="K3262" s="30" t="s">
        <v>1277</v>
      </c>
      <c r="L3262" s="43" t="s">
        <v>4909</v>
      </c>
      <c r="P3262" s="41">
        <v>24</v>
      </c>
      <c r="Q3262" s="41">
        <v>12</v>
      </c>
      <c r="R3262" s="41" t="s">
        <v>1547</v>
      </c>
      <c r="S3262" t="s">
        <v>1547</v>
      </c>
      <c r="AH3262" t="s">
        <v>359</v>
      </c>
    </row>
    <row r="3263" spans="1:34" ht="15.75">
      <c r="A3263" s="29">
        <f t="shared" si="54"/>
        <v>17330</v>
      </c>
      <c r="B3263" s="30">
        <v>570</v>
      </c>
      <c r="C3263" s="30">
        <v>1</v>
      </c>
      <c r="D3263" s="30">
        <v>1817</v>
      </c>
      <c r="E3263">
        <v>12096</v>
      </c>
      <c r="H3263" t="s">
        <v>1541</v>
      </c>
      <c r="I3263" s="30">
        <v>0</v>
      </c>
      <c r="J3263" s="30">
        <v>1733</v>
      </c>
      <c r="K3263" s="30" t="s">
        <v>1277</v>
      </c>
      <c r="L3263" s="43" t="s">
        <v>140</v>
      </c>
      <c r="M3263" s="41" t="s">
        <v>141</v>
      </c>
      <c r="O3263" s="41" t="s">
        <v>142</v>
      </c>
      <c r="P3263" s="41">
        <v>25</v>
      </c>
      <c r="Q3263" s="41">
        <v>8</v>
      </c>
      <c r="S3263" t="s">
        <v>143</v>
      </c>
      <c r="T3263" t="s">
        <v>1982</v>
      </c>
      <c r="V3263" t="s">
        <v>3373</v>
      </c>
      <c r="X3263">
        <v>0.5</v>
      </c>
      <c r="Y3263" t="s">
        <v>144</v>
      </c>
      <c r="AH3263" t="s">
        <v>359</v>
      </c>
    </row>
    <row r="3264" spans="1:34" ht="15.75">
      <c r="A3264" s="29">
        <f t="shared" si="54"/>
        <v>15000</v>
      </c>
      <c r="B3264" s="30">
        <v>570</v>
      </c>
      <c r="C3264" s="30">
        <v>1</v>
      </c>
      <c r="D3264" s="30">
        <v>1817</v>
      </c>
      <c r="E3264">
        <v>12097</v>
      </c>
      <c r="H3264" t="s">
        <v>1541</v>
      </c>
      <c r="I3264" s="30">
        <v>15000</v>
      </c>
      <c r="J3264" s="30">
        <v>0</v>
      </c>
      <c r="K3264" s="30" t="s">
        <v>1277</v>
      </c>
      <c r="L3264" s="43" t="s">
        <v>3337</v>
      </c>
      <c r="P3264" s="41">
        <v>10</v>
      </c>
      <c r="Q3264" s="41">
        <v>8</v>
      </c>
      <c r="R3264" s="41">
        <v>50</v>
      </c>
      <c r="S3264" t="s">
        <v>3321</v>
      </c>
      <c r="AH3264" t="s">
        <v>359</v>
      </c>
    </row>
    <row r="3265" spans="1:34" ht="15.75">
      <c r="A3265" s="29">
        <f t="shared" si="54"/>
        <v>2016</v>
      </c>
      <c r="B3265" s="30">
        <v>570</v>
      </c>
      <c r="C3265" s="30">
        <v>1</v>
      </c>
      <c r="D3265" s="30">
        <v>1817</v>
      </c>
      <c r="E3265">
        <v>12098</v>
      </c>
      <c r="H3265" t="s">
        <v>1541</v>
      </c>
      <c r="I3265" s="30">
        <v>2016</v>
      </c>
      <c r="J3265" s="30">
        <v>0</v>
      </c>
      <c r="K3265" s="30" t="s">
        <v>1277</v>
      </c>
      <c r="L3265" s="43" t="s">
        <v>971</v>
      </c>
      <c r="P3265" s="41">
        <v>8</v>
      </c>
      <c r="Q3265" s="41">
        <v>7</v>
      </c>
      <c r="R3265" s="41" t="s">
        <v>1547</v>
      </c>
      <c r="S3265" t="s">
        <v>874</v>
      </c>
      <c r="AH3265" t="s">
        <v>359</v>
      </c>
    </row>
    <row r="3266" spans="1:34" ht="15.75">
      <c r="A3266" s="29">
        <f t="shared" si="54"/>
        <v>20106</v>
      </c>
      <c r="B3266" s="30">
        <v>570</v>
      </c>
      <c r="C3266" s="30"/>
      <c r="D3266" s="30"/>
      <c r="E3266">
        <v>12100</v>
      </c>
      <c r="H3266" t="s">
        <v>850</v>
      </c>
      <c r="I3266" s="30">
        <v>20106</v>
      </c>
      <c r="J3266" s="30">
        <v>0</v>
      </c>
      <c r="K3266" s="30" t="s">
        <v>1277</v>
      </c>
      <c r="L3266" s="43" t="s">
        <v>145</v>
      </c>
      <c r="M3266" s="41" t="s">
        <v>1699</v>
      </c>
      <c r="N3266" s="41" t="s">
        <v>1547</v>
      </c>
      <c r="O3266" s="41" t="s">
        <v>150</v>
      </c>
      <c r="P3266" s="41">
        <v>8</v>
      </c>
      <c r="Q3266" s="41">
        <v>7</v>
      </c>
      <c r="R3266" s="41" t="s">
        <v>1547</v>
      </c>
      <c r="S3266" t="s">
        <v>874</v>
      </c>
      <c r="T3266" t="s">
        <v>151</v>
      </c>
      <c r="U3266" t="s">
        <v>1340</v>
      </c>
      <c r="V3266">
        <v>1</v>
      </c>
      <c r="AH3266" t="s">
        <v>359</v>
      </c>
    </row>
    <row r="3267" spans="1:34" ht="15.75">
      <c r="A3267" s="29">
        <f t="shared" si="54"/>
        <v>2306</v>
      </c>
      <c r="B3267" s="30">
        <v>570</v>
      </c>
      <c r="C3267" s="30">
        <v>1</v>
      </c>
      <c r="D3267" s="30">
        <v>1817</v>
      </c>
      <c r="E3267">
        <v>12101</v>
      </c>
      <c r="H3267" t="s">
        <v>1540</v>
      </c>
      <c r="I3267" s="30">
        <v>2306</v>
      </c>
      <c r="J3267" s="30">
        <v>0</v>
      </c>
      <c r="K3267" s="30" t="s">
        <v>1277</v>
      </c>
      <c r="L3267" s="43" t="s">
        <v>152</v>
      </c>
      <c r="P3267" s="41">
        <v>17</v>
      </c>
      <c r="Q3267" s="41">
        <v>1</v>
      </c>
      <c r="R3267" s="41" t="s">
        <v>1547</v>
      </c>
      <c r="S3267" t="s">
        <v>1547</v>
      </c>
      <c r="AH3267" t="s">
        <v>359</v>
      </c>
    </row>
    <row r="3268" spans="1:34" ht="15.75">
      <c r="A3268" s="29">
        <f t="shared" si="54"/>
        <v>4</v>
      </c>
      <c r="B3268" s="30">
        <v>570</v>
      </c>
      <c r="C3268" s="30">
        <v>1</v>
      </c>
      <c r="D3268" s="30">
        <v>1817</v>
      </c>
      <c r="E3268">
        <v>12102</v>
      </c>
      <c r="H3268" t="s">
        <v>1541</v>
      </c>
      <c r="I3268" s="30">
        <v>4</v>
      </c>
      <c r="J3268" s="30">
        <v>0</v>
      </c>
      <c r="K3268" s="30" t="s">
        <v>1277</v>
      </c>
      <c r="AH3268" t="s">
        <v>359</v>
      </c>
    </row>
    <row r="3269" spans="1:34" ht="15.75">
      <c r="A3269" s="29">
        <f t="shared" si="54"/>
        <v>78</v>
      </c>
      <c r="B3269" s="30">
        <v>571</v>
      </c>
      <c r="C3269" s="30">
        <v>1</v>
      </c>
      <c r="D3269" s="30">
        <v>1817</v>
      </c>
      <c r="E3269">
        <v>12108</v>
      </c>
      <c r="H3269" t="s">
        <v>850</v>
      </c>
      <c r="I3269" s="29">
        <v>78</v>
      </c>
      <c r="J3269">
        <v>0</v>
      </c>
      <c r="K3269" s="30" t="s">
        <v>866</v>
      </c>
      <c r="L3269" s="43" t="s">
        <v>972</v>
      </c>
      <c r="P3269" s="41">
        <v>3</v>
      </c>
      <c r="Q3269" s="41">
        <v>4</v>
      </c>
      <c r="R3269" s="41">
        <v>29</v>
      </c>
      <c r="S3269" t="s">
        <v>3321</v>
      </c>
      <c r="AH3269" t="s">
        <v>359</v>
      </c>
    </row>
    <row r="3270" spans="1:34" ht="15.75">
      <c r="A3270" s="29">
        <f t="shared" si="54"/>
        <v>341</v>
      </c>
      <c r="B3270" s="30">
        <v>571</v>
      </c>
      <c r="C3270" s="30">
        <v>1</v>
      </c>
      <c r="D3270" s="30">
        <v>1817</v>
      </c>
      <c r="E3270">
        <v>12109</v>
      </c>
      <c r="H3270" t="s">
        <v>1549</v>
      </c>
      <c r="I3270" s="29">
        <v>341</v>
      </c>
      <c r="J3270">
        <v>0</v>
      </c>
      <c r="K3270" s="30" t="s">
        <v>866</v>
      </c>
      <c r="L3270" s="43" t="s">
        <v>5760</v>
      </c>
      <c r="P3270" s="41">
        <v>14</v>
      </c>
      <c r="Q3270" s="41">
        <v>4</v>
      </c>
      <c r="R3270" s="41">
        <v>28</v>
      </c>
      <c r="S3270" t="s">
        <v>3321</v>
      </c>
      <c r="AH3270" t="s">
        <v>359</v>
      </c>
    </row>
    <row r="3271" spans="1:34" ht="15.75">
      <c r="A3271" s="29">
        <f t="shared" si="54"/>
        <v>9123</v>
      </c>
      <c r="B3271" s="30">
        <v>571</v>
      </c>
      <c r="C3271" s="30">
        <v>1</v>
      </c>
      <c r="D3271" s="30">
        <v>1817</v>
      </c>
      <c r="E3271">
        <v>12110</v>
      </c>
      <c r="H3271" t="s">
        <v>1549</v>
      </c>
      <c r="I3271" s="29">
        <v>9123</v>
      </c>
      <c r="J3271">
        <v>0</v>
      </c>
      <c r="K3271" s="30" t="s">
        <v>866</v>
      </c>
      <c r="L3271" s="43" t="s">
        <v>5760</v>
      </c>
      <c r="P3271" s="41">
        <v>24</v>
      </c>
      <c r="Q3271" s="41">
        <v>8</v>
      </c>
      <c r="R3271" s="41">
        <v>51</v>
      </c>
      <c r="AH3271" t="s">
        <v>359</v>
      </c>
    </row>
    <row r="3272" spans="1:34" ht="15.75">
      <c r="A3272" s="29">
        <f t="shared" si="54"/>
        <v>5445</v>
      </c>
      <c r="B3272" s="30">
        <v>571</v>
      </c>
      <c r="C3272" s="30">
        <v>1</v>
      </c>
      <c r="D3272" s="30">
        <v>1817</v>
      </c>
      <c r="E3272">
        <v>12112</v>
      </c>
      <c r="H3272" t="s">
        <v>1549</v>
      </c>
      <c r="I3272" s="29">
        <v>5445</v>
      </c>
      <c r="J3272">
        <v>0</v>
      </c>
      <c r="K3272" s="30" t="s">
        <v>866</v>
      </c>
      <c r="L3272" s="43" t="s">
        <v>5237</v>
      </c>
      <c r="P3272" s="41">
        <v>2</v>
      </c>
      <c r="Q3272" s="41">
        <v>8</v>
      </c>
      <c r="R3272" s="41">
        <v>74</v>
      </c>
      <c r="AH3272" t="s">
        <v>359</v>
      </c>
    </row>
    <row r="3273" spans="1:34" ht="15.75">
      <c r="A3273" s="29">
        <f t="shared" si="54"/>
        <v>543</v>
      </c>
      <c r="B3273" s="30">
        <v>571</v>
      </c>
      <c r="C3273" s="30">
        <v>1</v>
      </c>
      <c r="D3273" s="30">
        <v>1817</v>
      </c>
      <c r="E3273">
        <v>12113</v>
      </c>
      <c r="H3273" t="s">
        <v>1549</v>
      </c>
      <c r="I3273" s="29">
        <v>543</v>
      </c>
      <c r="J3273">
        <v>0</v>
      </c>
      <c r="K3273" s="30" t="s">
        <v>866</v>
      </c>
      <c r="L3273" s="43" t="s">
        <v>5238</v>
      </c>
      <c r="P3273" s="41">
        <v>3</v>
      </c>
      <c r="Q3273" s="41">
        <v>3</v>
      </c>
      <c r="R3273" s="41">
        <v>77</v>
      </c>
      <c r="AH3273" t="s">
        <v>359</v>
      </c>
    </row>
    <row r="3274" spans="1:34" ht="15.75">
      <c r="A3274" s="29">
        <f t="shared" si="54"/>
        <v>27308</v>
      </c>
      <c r="B3274" s="31">
        <v>571</v>
      </c>
      <c r="C3274" s="31">
        <v>1</v>
      </c>
      <c r="D3274" s="31">
        <v>1817</v>
      </c>
      <c r="E3274">
        <v>12114</v>
      </c>
      <c r="F3274" s="9"/>
      <c r="G3274" s="9"/>
      <c r="H3274" s="9" t="s">
        <v>1549</v>
      </c>
      <c r="I3274" s="32">
        <f>9908+400</f>
        <v>10308</v>
      </c>
      <c r="J3274" s="32">
        <v>850</v>
      </c>
      <c r="K3274" s="30" t="s">
        <v>866</v>
      </c>
      <c r="L3274" s="43" t="s">
        <v>4928</v>
      </c>
      <c r="M3274" s="43" t="s">
        <v>3362</v>
      </c>
      <c r="N3274" s="43" t="s">
        <v>156</v>
      </c>
      <c r="O3274" s="43" t="s">
        <v>157</v>
      </c>
      <c r="P3274" s="43">
        <v>26</v>
      </c>
      <c r="Q3274" s="43">
        <v>9</v>
      </c>
      <c r="R3274" s="43">
        <v>61</v>
      </c>
      <c r="S3274" s="9" t="s">
        <v>158</v>
      </c>
      <c r="T3274" s="9" t="s">
        <v>159</v>
      </c>
      <c r="U3274" s="9"/>
      <c r="V3274" s="9"/>
      <c r="W3274" s="9"/>
      <c r="X3274" s="9">
        <v>1</v>
      </c>
      <c r="Y3274" t="s">
        <v>160</v>
      </c>
      <c r="AH3274" t="s">
        <v>359</v>
      </c>
    </row>
    <row r="3275" spans="1:34" ht="15.75">
      <c r="A3275" s="29">
        <f t="shared" si="54"/>
        <v>42</v>
      </c>
      <c r="B3275" s="30">
        <v>571</v>
      </c>
      <c r="C3275" s="30">
        <v>1</v>
      </c>
      <c r="D3275" s="30">
        <v>1817</v>
      </c>
      <c r="E3275">
        <v>12115</v>
      </c>
      <c r="H3275" t="s">
        <v>1549</v>
      </c>
      <c r="I3275" s="29">
        <v>42</v>
      </c>
      <c r="J3275">
        <v>0</v>
      </c>
      <c r="K3275" s="30" t="s">
        <v>866</v>
      </c>
      <c r="L3275" s="43" t="s">
        <v>363</v>
      </c>
      <c r="P3275" s="41">
        <v>11</v>
      </c>
      <c r="Q3275" s="41">
        <v>3</v>
      </c>
      <c r="R3275" s="41">
        <v>53</v>
      </c>
      <c r="S3275" t="s">
        <v>3321</v>
      </c>
      <c r="AH3275" t="s">
        <v>359</v>
      </c>
    </row>
    <row r="3276" spans="1:34" ht="15.75">
      <c r="A3276" s="29">
        <f t="shared" si="54"/>
        <v>41</v>
      </c>
      <c r="B3276" s="30">
        <v>571</v>
      </c>
      <c r="C3276" s="30">
        <v>1</v>
      </c>
      <c r="D3276" s="30">
        <v>1817</v>
      </c>
      <c r="E3276">
        <v>12116</v>
      </c>
      <c r="H3276" t="s">
        <v>850</v>
      </c>
      <c r="I3276" s="29">
        <v>41</v>
      </c>
      <c r="J3276">
        <v>0</v>
      </c>
      <c r="K3276" s="30" t="s">
        <v>866</v>
      </c>
      <c r="L3276" s="43" t="s">
        <v>5249</v>
      </c>
      <c r="P3276" s="41">
        <v>5</v>
      </c>
      <c r="Q3276" s="41">
        <v>11</v>
      </c>
      <c r="R3276" s="41" t="s">
        <v>1547</v>
      </c>
      <c r="S3276" t="s">
        <v>3321</v>
      </c>
      <c r="AH3276" t="s">
        <v>359</v>
      </c>
    </row>
    <row r="3277" spans="1:34" ht="15.75">
      <c r="A3277" s="29">
        <f t="shared" si="54"/>
        <v>93392</v>
      </c>
      <c r="B3277" s="30">
        <v>571</v>
      </c>
      <c r="C3277" s="30">
        <v>1</v>
      </c>
      <c r="D3277" s="30">
        <v>1817</v>
      </c>
      <c r="E3277">
        <v>12117</v>
      </c>
      <c r="H3277" t="s">
        <v>1549</v>
      </c>
      <c r="I3277" s="29">
        <f>50923+42469</f>
        <v>93392</v>
      </c>
      <c r="J3277">
        <v>0</v>
      </c>
      <c r="K3277" s="30" t="s">
        <v>866</v>
      </c>
      <c r="L3277" s="43" t="s">
        <v>161</v>
      </c>
      <c r="M3277" s="41" t="s">
        <v>2697</v>
      </c>
      <c r="N3277" s="41" t="s">
        <v>1481</v>
      </c>
      <c r="O3277" s="41" t="s">
        <v>162</v>
      </c>
      <c r="P3277" s="41">
        <v>5</v>
      </c>
      <c r="Q3277" s="41">
        <v>3</v>
      </c>
      <c r="R3277" s="41">
        <v>71</v>
      </c>
      <c r="S3277" t="s">
        <v>1710</v>
      </c>
      <c r="T3277" t="s">
        <v>4855</v>
      </c>
      <c r="V3277" t="s">
        <v>2195</v>
      </c>
      <c r="AH3277" t="s">
        <v>359</v>
      </c>
    </row>
    <row r="3278" spans="1:34" ht="15.75">
      <c r="A3278" s="29">
        <f t="shared" si="54"/>
        <v>35</v>
      </c>
      <c r="B3278" s="30">
        <v>571</v>
      </c>
      <c r="C3278" s="30">
        <v>1</v>
      </c>
      <c r="D3278" s="30">
        <v>1817</v>
      </c>
      <c r="E3278">
        <v>12118</v>
      </c>
      <c r="H3278" t="s">
        <v>850</v>
      </c>
      <c r="I3278" s="29">
        <v>35</v>
      </c>
      <c r="J3278">
        <v>0</v>
      </c>
      <c r="K3278" s="30" t="s">
        <v>866</v>
      </c>
      <c r="L3278" s="43" t="s">
        <v>3695</v>
      </c>
      <c r="P3278" s="41">
        <v>19</v>
      </c>
      <c r="Q3278" s="41">
        <v>3</v>
      </c>
      <c r="R3278" s="41">
        <v>44</v>
      </c>
      <c r="S3278" t="s">
        <v>3321</v>
      </c>
      <c r="AH3278" t="s">
        <v>359</v>
      </c>
    </row>
    <row r="3279" spans="1:34" ht="15.75">
      <c r="A3279" s="29">
        <f t="shared" si="54"/>
        <v>201</v>
      </c>
      <c r="B3279" s="30">
        <v>571</v>
      </c>
      <c r="C3279" s="30">
        <v>1</v>
      </c>
      <c r="D3279" s="30">
        <v>1817</v>
      </c>
      <c r="E3279">
        <v>12119</v>
      </c>
      <c r="H3279" t="s">
        <v>1549</v>
      </c>
      <c r="I3279" s="29">
        <v>201</v>
      </c>
      <c r="J3279">
        <v>0</v>
      </c>
      <c r="K3279" s="30" t="s">
        <v>866</v>
      </c>
      <c r="L3279" s="43" t="s">
        <v>3695</v>
      </c>
      <c r="P3279" s="41">
        <v>25</v>
      </c>
      <c r="Q3279" s="41">
        <v>12</v>
      </c>
      <c r="R3279" s="41">
        <v>62</v>
      </c>
      <c r="S3279" t="s">
        <v>3321</v>
      </c>
      <c r="AH3279" t="s">
        <v>359</v>
      </c>
    </row>
    <row r="3280" spans="1:34" ht="15.75">
      <c r="A3280" s="29">
        <f t="shared" si="54"/>
        <v>22</v>
      </c>
      <c r="B3280" s="30">
        <v>571</v>
      </c>
      <c r="C3280" s="30">
        <v>1</v>
      </c>
      <c r="D3280" s="30">
        <v>1817</v>
      </c>
      <c r="E3280">
        <v>12120</v>
      </c>
      <c r="H3280" t="s">
        <v>850</v>
      </c>
      <c r="I3280" s="29">
        <v>22</v>
      </c>
      <c r="J3280">
        <v>0</v>
      </c>
      <c r="K3280" s="30" t="s">
        <v>866</v>
      </c>
      <c r="L3280" s="43" t="s">
        <v>5259</v>
      </c>
      <c r="P3280" s="41">
        <v>14</v>
      </c>
      <c r="Q3280" s="41">
        <v>1</v>
      </c>
      <c r="R3280" s="41">
        <v>81</v>
      </c>
      <c r="S3280" t="s">
        <v>1547</v>
      </c>
      <c r="AH3280" t="s">
        <v>359</v>
      </c>
    </row>
    <row r="3281" spans="1:34" ht="15.75">
      <c r="A3281" s="29">
        <f t="shared" si="54"/>
        <v>150</v>
      </c>
      <c r="B3281" s="30">
        <v>572</v>
      </c>
      <c r="C3281" s="30">
        <v>1</v>
      </c>
      <c r="D3281" s="30">
        <v>1817</v>
      </c>
      <c r="E3281">
        <v>12172</v>
      </c>
      <c r="H3281" t="s">
        <v>1540</v>
      </c>
      <c r="I3281" s="30">
        <v>150</v>
      </c>
      <c r="J3281" s="30">
        <v>0</v>
      </c>
      <c r="K3281" s="30" t="s">
        <v>866</v>
      </c>
      <c r="L3281" s="43" t="s">
        <v>3344</v>
      </c>
      <c r="P3281" s="41">
        <v>16</v>
      </c>
      <c r="Q3281" s="41">
        <v>8</v>
      </c>
      <c r="R3281" s="41">
        <v>87</v>
      </c>
      <c r="S3281" t="s">
        <v>3321</v>
      </c>
      <c r="AH3281" t="s">
        <v>359</v>
      </c>
    </row>
    <row r="3282" spans="1:34" ht="15.75">
      <c r="A3282" s="29">
        <f t="shared" si="54"/>
        <v>13000</v>
      </c>
      <c r="B3282" s="30">
        <v>572</v>
      </c>
      <c r="C3282" s="30">
        <v>1</v>
      </c>
      <c r="D3282" s="30">
        <v>1817</v>
      </c>
      <c r="E3282">
        <v>12173</v>
      </c>
      <c r="H3282" t="s">
        <v>1541</v>
      </c>
      <c r="I3282" s="30">
        <v>13000</v>
      </c>
      <c r="J3282" s="30">
        <v>0</v>
      </c>
      <c r="K3282" s="30" t="s">
        <v>866</v>
      </c>
      <c r="L3282" s="43" t="s">
        <v>163</v>
      </c>
      <c r="P3282" s="41">
        <v>9</v>
      </c>
      <c r="Q3282" s="41">
        <v>11</v>
      </c>
      <c r="R3282" s="41">
        <v>63</v>
      </c>
      <c r="S3282" t="s">
        <v>3321</v>
      </c>
      <c r="AH3282" t="s">
        <v>359</v>
      </c>
    </row>
    <row r="3283" spans="1:34" ht="15.75">
      <c r="A3283" s="29">
        <f aca="true" t="shared" si="55" ref="A3283:A3346">I3283+J3283*20*X3283</f>
        <v>141845</v>
      </c>
      <c r="B3283" s="30">
        <v>572</v>
      </c>
      <c r="C3283" s="30">
        <v>1</v>
      </c>
      <c r="D3283" s="30">
        <v>1817</v>
      </c>
      <c r="E3283">
        <v>12174</v>
      </c>
      <c r="H3283" t="s">
        <v>1540</v>
      </c>
      <c r="I3283" s="30">
        <f>104474+700+36671</f>
        <v>141845</v>
      </c>
      <c r="J3283" s="30">
        <v>0</v>
      </c>
      <c r="K3283" s="30" t="s">
        <v>866</v>
      </c>
      <c r="L3283" s="43" t="s">
        <v>164</v>
      </c>
      <c r="M3283" s="41" t="s">
        <v>165</v>
      </c>
      <c r="N3283" s="41" t="s">
        <v>166</v>
      </c>
      <c r="O3283" s="41" t="s">
        <v>167</v>
      </c>
      <c r="P3283" s="41">
        <v>27</v>
      </c>
      <c r="Q3283" s="41">
        <v>4</v>
      </c>
      <c r="R3283" s="41">
        <v>54</v>
      </c>
      <c r="S3283" t="s">
        <v>168</v>
      </c>
      <c r="T3283" t="s">
        <v>169</v>
      </c>
      <c r="V3283" t="s">
        <v>1766</v>
      </c>
      <c r="AH3283" t="s">
        <v>359</v>
      </c>
    </row>
    <row r="3284" spans="1:34" ht="15.75">
      <c r="A3284" s="29">
        <f t="shared" si="55"/>
        <v>11236</v>
      </c>
      <c r="B3284" s="30">
        <v>572</v>
      </c>
      <c r="C3284" s="30">
        <v>1</v>
      </c>
      <c r="D3284" s="30">
        <v>1817</v>
      </c>
      <c r="E3284">
        <v>12175</v>
      </c>
      <c r="H3284" t="s">
        <v>1541</v>
      </c>
      <c r="I3284" s="30">
        <v>11236</v>
      </c>
      <c r="J3284" s="30">
        <v>0</v>
      </c>
      <c r="K3284" s="30" t="s">
        <v>866</v>
      </c>
      <c r="L3284" s="43" t="s">
        <v>2779</v>
      </c>
      <c r="P3284" s="41">
        <v>3</v>
      </c>
      <c r="Q3284" s="41">
        <v>11</v>
      </c>
      <c r="R3284" s="41" t="s">
        <v>1547</v>
      </c>
      <c r="S3284" t="s">
        <v>3321</v>
      </c>
      <c r="AH3284" t="s">
        <v>359</v>
      </c>
    </row>
    <row r="3285" spans="1:34" ht="15.75">
      <c r="A3285" s="29">
        <f t="shared" si="55"/>
        <v>96</v>
      </c>
      <c r="B3285" s="30">
        <v>572</v>
      </c>
      <c r="C3285" s="30">
        <v>1</v>
      </c>
      <c r="D3285" s="30">
        <v>1817</v>
      </c>
      <c r="E3285">
        <v>12176</v>
      </c>
      <c r="H3285" t="s">
        <v>1541</v>
      </c>
      <c r="I3285" s="30">
        <v>96</v>
      </c>
      <c r="J3285" s="30">
        <v>0</v>
      </c>
      <c r="K3285" s="30" t="s">
        <v>866</v>
      </c>
      <c r="L3285" s="43" t="s">
        <v>2779</v>
      </c>
      <c r="P3285" s="41">
        <v>9</v>
      </c>
      <c r="Q3285" s="41">
        <v>12</v>
      </c>
      <c r="R3285" s="41" t="s">
        <v>170</v>
      </c>
      <c r="S3285" t="s">
        <v>884</v>
      </c>
      <c r="AH3285" t="s">
        <v>359</v>
      </c>
    </row>
    <row r="3286" spans="1:34" ht="15.75">
      <c r="A3286" s="29">
        <f t="shared" si="55"/>
        <v>132</v>
      </c>
      <c r="B3286" s="30">
        <v>572</v>
      </c>
      <c r="C3286" s="30">
        <v>1</v>
      </c>
      <c r="D3286" s="30">
        <v>1817</v>
      </c>
      <c r="E3286">
        <v>12177</v>
      </c>
      <c r="H3286" t="s">
        <v>1541</v>
      </c>
      <c r="I3286" s="30">
        <v>132</v>
      </c>
      <c r="J3286" s="30">
        <v>0</v>
      </c>
      <c r="K3286" s="30" t="s">
        <v>866</v>
      </c>
      <c r="L3286" s="43" t="s">
        <v>2779</v>
      </c>
      <c r="P3286" s="41">
        <v>25</v>
      </c>
      <c r="Q3286" s="41">
        <v>12</v>
      </c>
      <c r="R3286" s="41" t="s">
        <v>1547</v>
      </c>
      <c r="S3286" t="s">
        <v>1547</v>
      </c>
      <c r="AH3286" t="s">
        <v>359</v>
      </c>
    </row>
    <row r="3287" spans="1:34" ht="15.75">
      <c r="A3287" s="29">
        <f t="shared" si="55"/>
        <v>102000</v>
      </c>
      <c r="B3287" s="30">
        <v>572</v>
      </c>
      <c r="C3287" s="30">
        <v>1</v>
      </c>
      <c r="D3287" s="30">
        <v>1817</v>
      </c>
      <c r="E3287">
        <v>12178</v>
      </c>
      <c r="H3287" t="s">
        <v>1540</v>
      </c>
      <c r="I3287" s="30">
        <v>0</v>
      </c>
      <c r="J3287" s="30">
        <f>3500+1600</f>
        <v>5100</v>
      </c>
      <c r="K3287" s="30" t="s">
        <v>866</v>
      </c>
      <c r="L3287" s="43" t="s">
        <v>1339</v>
      </c>
      <c r="M3287" s="41" t="s">
        <v>5905</v>
      </c>
      <c r="N3287" s="41" t="s">
        <v>171</v>
      </c>
      <c r="O3287" s="41" t="s">
        <v>172</v>
      </c>
      <c r="P3287" s="41">
        <v>11</v>
      </c>
      <c r="Q3287" s="41">
        <v>2</v>
      </c>
      <c r="R3287" s="41" t="s">
        <v>1547</v>
      </c>
      <c r="S3287" t="s">
        <v>1547</v>
      </c>
      <c r="T3287" t="s">
        <v>173</v>
      </c>
      <c r="V3287" t="s">
        <v>1257</v>
      </c>
      <c r="X3287">
        <v>1</v>
      </c>
      <c r="Y3287" t="s">
        <v>174</v>
      </c>
      <c r="AH3287" t="s">
        <v>359</v>
      </c>
    </row>
    <row r="3288" spans="1:34" ht="15.75">
      <c r="A3288" s="29">
        <f t="shared" si="55"/>
        <v>1000</v>
      </c>
      <c r="B3288" s="30">
        <v>572</v>
      </c>
      <c r="C3288" s="30">
        <v>1</v>
      </c>
      <c r="D3288" s="30">
        <v>1817</v>
      </c>
      <c r="E3288">
        <v>12179</v>
      </c>
      <c r="H3288" t="s">
        <v>1541</v>
      </c>
      <c r="I3288" s="30">
        <v>1000</v>
      </c>
      <c r="J3288" s="30">
        <v>0</v>
      </c>
      <c r="K3288" s="30" t="s">
        <v>866</v>
      </c>
      <c r="L3288" s="43" t="s">
        <v>2779</v>
      </c>
      <c r="P3288" s="41">
        <v>3</v>
      </c>
      <c r="Q3288" s="41">
        <v>7</v>
      </c>
      <c r="R3288" s="41">
        <v>58</v>
      </c>
      <c r="S3288" t="s">
        <v>3321</v>
      </c>
      <c r="AH3288" t="s">
        <v>359</v>
      </c>
    </row>
    <row r="3289" spans="1:34" ht="15.75">
      <c r="A3289" s="29">
        <f t="shared" si="55"/>
        <v>90</v>
      </c>
      <c r="B3289" s="30">
        <v>572</v>
      </c>
      <c r="C3289" s="30">
        <v>1</v>
      </c>
      <c r="D3289" s="30">
        <v>1817</v>
      </c>
      <c r="E3289">
        <v>12180</v>
      </c>
      <c r="H3289" t="s">
        <v>1540</v>
      </c>
      <c r="I3289" s="30">
        <v>90</v>
      </c>
      <c r="J3289" s="30">
        <v>0</v>
      </c>
      <c r="K3289" s="30" t="s">
        <v>866</v>
      </c>
      <c r="L3289" s="43" t="s">
        <v>2779</v>
      </c>
      <c r="P3289" s="41">
        <v>6</v>
      </c>
      <c r="Q3289" s="41">
        <v>11</v>
      </c>
      <c r="R3289" s="41" t="s">
        <v>1547</v>
      </c>
      <c r="S3289" t="s">
        <v>3321</v>
      </c>
      <c r="AH3289" t="s">
        <v>359</v>
      </c>
    </row>
    <row r="3290" spans="1:34" ht="15.75">
      <c r="A3290" s="29">
        <f t="shared" si="55"/>
        <v>149000</v>
      </c>
      <c r="B3290" s="30">
        <v>572</v>
      </c>
      <c r="C3290" s="30">
        <v>1</v>
      </c>
      <c r="D3290" s="30">
        <v>1817</v>
      </c>
      <c r="E3290">
        <v>12181</v>
      </c>
      <c r="H3290" t="s">
        <v>1541</v>
      </c>
      <c r="I3290" s="30">
        <v>0</v>
      </c>
      <c r="J3290" s="30">
        <v>7450</v>
      </c>
      <c r="K3290" s="30" t="s">
        <v>866</v>
      </c>
      <c r="L3290" s="43" t="s">
        <v>1258</v>
      </c>
      <c r="M3290" s="41" t="s">
        <v>1259</v>
      </c>
      <c r="N3290" s="41" t="s">
        <v>1555</v>
      </c>
      <c r="O3290" s="41" t="s">
        <v>175</v>
      </c>
      <c r="P3290" s="41">
        <v>26</v>
      </c>
      <c r="Q3290" s="41">
        <v>3</v>
      </c>
      <c r="R3290" s="41" t="s">
        <v>1547</v>
      </c>
      <c r="S3290" t="s">
        <v>176</v>
      </c>
      <c r="T3290" t="s">
        <v>177</v>
      </c>
      <c r="V3290" t="s">
        <v>1260</v>
      </c>
      <c r="X3290">
        <v>1</v>
      </c>
      <c r="Y3290" t="s">
        <v>178</v>
      </c>
      <c r="AH3290" t="s">
        <v>359</v>
      </c>
    </row>
    <row r="3291" spans="1:34" ht="15.75">
      <c r="A3291" s="29">
        <f t="shared" si="55"/>
        <v>441</v>
      </c>
      <c r="B3291" s="30">
        <v>572</v>
      </c>
      <c r="C3291" s="30">
        <v>1</v>
      </c>
      <c r="D3291" s="30">
        <v>1817</v>
      </c>
      <c r="E3291">
        <v>12182</v>
      </c>
      <c r="H3291" t="s">
        <v>1541</v>
      </c>
      <c r="I3291" s="30">
        <v>441</v>
      </c>
      <c r="J3291" s="30">
        <v>0</v>
      </c>
      <c r="K3291" s="30" t="s">
        <v>866</v>
      </c>
      <c r="L3291" s="43" t="s">
        <v>3356</v>
      </c>
      <c r="P3291" s="41">
        <v>29</v>
      </c>
      <c r="Q3291" s="41">
        <v>10</v>
      </c>
      <c r="R3291" s="41" t="s">
        <v>1547</v>
      </c>
      <c r="S3291" t="s">
        <v>1547</v>
      </c>
      <c r="AH3291" t="s">
        <v>359</v>
      </c>
    </row>
    <row r="3292" spans="1:34" ht="15.75">
      <c r="A3292" s="29">
        <f t="shared" si="55"/>
        <v>96</v>
      </c>
      <c r="B3292" s="30">
        <v>573</v>
      </c>
      <c r="C3292" s="30">
        <v>1</v>
      </c>
      <c r="D3292" s="30">
        <v>1817</v>
      </c>
      <c r="E3292">
        <v>12185</v>
      </c>
      <c r="H3292" t="s">
        <v>1549</v>
      </c>
      <c r="I3292" s="29">
        <v>96</v>
      </c>
      <c r="J3292" s="29">
        <v>0</v>
      </c>
      <c r="K3292" s="30" t="s">
        <v>866</v>
      </c>
      <c r="L3292" s="43" t="s">
        <v>5849</v>
      </c>
      <c r="P3292" s="41">
        <v>18</v>
      </c>
      <c r="Q3292" s="41">
        <v>7</v>
      </c>
      <c r="R3292" s="41">
        <v>69</v>
      </c>
      <c r="S3292" t="s">
        <v>3321</v>
      </c>
      <c r="T3292" s="30"/>
      <c r="V3292" s="30"/>
      <c r="W3292" s="30"/>
      <c r="AA3292" s="33"/>
      <c r="AB3292" s="30"/>
      <c r="AC3292" s="30"/>
      <c r="AH3292" t="s">
        <v>359</v>
      </c>
    </row>
    <row r="3293" spans="1:34" ht="15.75">
      <c r="A3293" s="29">
        <f t="shared" si="55"/>
        <v>4400</v>
      </c>
      <c r="B3293" s="30">
        <v>573</v>
      </c>
      <c r="C3293" s="30">
        <v>1</v>
      </c>
      <c r="D3293" s="30">
        <v>1817</v>
      </c>
      <c r="E3293">
        <v>12186</v>
      </c>
      <c r="H3293" t="s">
        <v>1549</v>
      </c>
      <c r="I3293" s="29">
        <v>4400</v>
      </c>
      <c r="J3293" s="29">
        <v>0</v>
      </c>
      <c r="K3293" s="30" t="s">
        <v>866</v>
      </c>
      <c r="L3293" s="43" t="s">
        <v>5849</v>
      </c>
      <c r="P3293" s="41">
        <v>23</v>
      </c>
      <c r="Q3293" s="41">
        <v>9</v>
      </c>
      <c r="R3293" s="41">
        <v>52</v>
      </c>
      <c r="S3293" t="s">
        <v>3321</v>
      </c>
      <c r="T3293" s="30"/>
      <c r="V3293" s="30"/>
      <c r="W3293" s="30"/>
      <c r="AA3293" s="33"/>
      <c r="AB3293" s="30"/>
      <c r="AC3293" s="30"/>
      <c r="AH3293" t="s">
        <v>359</v>
      </c>
    </row>
    <row r="3294" spans="1:34" ht="15.75">
      <c r="A3294" s="29">
        <f t="shared" si="55"/>
        <v>10500</v>
      </c>
      <c r="B3294" s="30">
        <v>573</v>
      </c>
      <c r="C3294" s="30">
        <v>1</v>
      </c>
      <c r="D3294" s="30">
        <v>1817</v>
      </c>
      <c r="E3294">
        <v>12187</v>
      </c>
      <c r="H3294" t="s">
        <v>850</v>
      </c>
      <c r="I3294" s="29">
        <v>0</v>
      </c>
      <c r="J3294" s="29">
        <v>1050</v>
      </c>
      <c r="K3294" s="30" t="s">
        <v>866</v>
      </c>
      <c r="L3294" s="43" t="s">
        <v>179</v>
      </c>
      <c r="M3294" s="41" t="s">
        <v>180</v>
      </c>
      <c r="O3294" s="41" t="s">
        <v>181</v>
      </c>
      <c r="P3294" s="41">
        <v>6</v>
      </c>
      <c r="Q3294" s="41">
        <v>3</v>
      </c>
      <c r="S3294" s="30" t="s">
        <v>182</v>
      </c>
      <c r="T3294" s="30" t="s">
        <v>5920</v>
      </c>
      <c r="V3294" s="30" t="s">
        <v>3450</v>
      </c>
      <c r="W3294" s="30"/>
      <c r="X3294">
        <v>0.5</v>
      </c>
      <c r="Y3294" t="s">
        <v>183</v>
      </c>
      <c r="AA3294" s="33"/>
      <c r="AB3294" s="30"/>
      <c r="AC3294" s="30"/>
      <c r="AH3294" t="s">
        <v>359</v>
      </c>
    </row>
    <row r="3295" spans="1:34" ht="15.75">
      <c r="A3295" s="29">
        <f t="shared" si="55"/>
        <v>172</v>
      </c>
      <c r="B3295" s="30">
        <v>573</v>
      </c>
      <c r="C3295" s="30">
        <v>1</v>
      </c>
      <c r="D3295" s="30">
        <v>1817</v>
      </c>
      <c r="E3295">
        <v>12188</v>
      </c>
      <c r="H3295" t="s">
        <v>850</v>
      </c>
      <c r="I3295" s="30">
        <v>172</v>
      </c>
      <c r="J3295">
        <v>0</v>
      </c>
      <c r="K3295" s="30" t="s">
        <v>866</v>
      </c>
      <c r="L3295" s="43" t="s">
        <v>5849</v>
      </c>
      <c r="P3295" s="41">
        <v>4</v>
      </c>
      <c r="Q3295" s="41">
        <v>5</v>
      </c>
      <c r="R3295" s="41">
        <v>48</v>
      </c>
      <c r="S3295" s="30" t="s">
        <v>874</v>
      </c>
      <c r="T3295" s="30"/>
      <c r="V3295" s="30"/>
      <c r="W3295" s="30"/>
      <c r="AA3295" s="33"/>
      <c r="AB3295" s="30"/>
      <c r="AC3295" s="30"/>
      <c r="AH3295" t="s">
        <v>359</v>
      </c>
    </row>
    <row r="3296" spans="1:34" ht="15.75">
      <c r="A3296" s="29">
        <f t="shared" si="55"/>
        <v>1451</v>
      </c>
      <c r="B3296" s="30">
        <v>573</v>
      </c>
      <c r="C3296" s="30">
        <v>1</v>
      </c>
      <c r="D3296" s="30">
        <v>1817</v>
      </c>
      <c r="E3296">
        <v>12189</v>
      </c>
      <c r="H3296" t="s">
        <v>1549</v>
      </c>
      <c r="I3296" s="30">
        <v>1451</v>
      </c>
      <c r="J3296">
        <v>0</v>
      </c>
      <c r="K3296" s="30" t="s">
        <v>866</v>
      </c>
      <c r="L3296" s="43" t="s">
        <v>5849</v>
      </c>
      <c r="P3296" s="41">
        <v>9</v>
      </c>
      <c r="Q3296" s="41">
        <v>6</v>
      </c>
      <c r="R3296" s="41">
        <v>72</v>
      </c>
      <c r="S3296" s="30"/>
      <c r="T3296" s="30"/>
      <c r="V3296" s="30"/>
      <c r="W3296" s="30"/>
      <c r="AA3296" s="33"/>
      <c r="AB3296" s="30"/>
      <c r="AC3296" s="30"/>
      <c r="AH3296" t="s">
        <v>359</v>
      </c>
    </row>
    <row r="3297" spans="1:34" ht="15.75">
      <c r="A3297" s="29">
        <f t="shared" si="55"/>
        <v>20077</v>
      </c>
      <c r="B3297" s="31">
        <v>573</v>
      </c>
      <c r="C3297" s="31">
        <v>1</v>
      </c>
      <c r="D3297" s="31">
        <v>1817</v>
      </c>
      <c r="E3297">
        <v>12190</v>
      </c>
      <c r="F3297" s="9"/>
      <c r="G3297" s="9"/>
      <c r="H3297" s="9" t="s">
        <v>1549</v>
      </c>
      <c r="I3297" s="31">
        <v>3857</v>
      </c>
      <c r="J3297" s="31">
        <v>811</v>
      </c>
      <c r="K3297" s="30" t="s">
        <v>866</v>
      </c>
      <c r="L3297" s="43" t="s">
        <v>184</v>
      </c>
      <c r="M3297" s="43" t="s">
        <v>185</v>
      </c>
      <c r="N3297" s="43" t="s">
        <v>1555</v>
      </c>
      <c r="O3297" s="41" t="s">
        <v>186</v>
      </c>
      <c r="P3297" s="41">
        <v>9</v>
      </c>
      <c r="Q3297" s="41">
        <v>5</v>
      </c>
      <c r="R3297" s="41">
        <v>90</v>
      </c>
      <c r="S3297" s="30" t="s">
        <v>187</v>
      </c>
      <c r="T3297" s="30" t="s">
        <v>188</v>
      </c>
      <c r="V3297" s="30" t="s">
        <v>3922</v>
      </c>
      <c r="W3297" s="30"/>
      <c r="X3297">
        <v>1</v>
      </c>
      <c r="Y3297" t="s">
        <v>189</v>
      </c>
      <c r="AA3297" s="33"/>
      <c r="AB3297" s="30"/>
      <c r="AC3297" s="30"/>
      <c r="AH3297" t="s">
        <v>359</v>
      </c>
    </row>
    <row r="3298" spans="1:34" ht="15.75">
      <c r="A3298" s="29">
        <f t="shared" si="55"/>
        <v>4243</v>
      </c>
      <c r="B3298" s="30">
        <v>573</v>
      </c>
      <c r="C3298" s="30">
        <v>1</v>
      </c>
      <c r="D3298" s="30">
        <v>1817</v>
      </c>
      <c r="E3298">
        <v>12191</v>
      </c>
      <c r="H3298" t="s">
        <v>1549</v>
      </c>
      <c r="I3298" s="30">
        <f>3275+968</f>
        <v>4243</v>
      </c>
      <c r="J3298">
        <v>0</v>
      </c>
      <c r="K3298" s="30" t="s">
        <v>866</v>
      </c>
      <c r="L3298" s="43" t="s">
        <v>5267</v>
      </c>
      <c r="P3298" s="41">
        <v>20</v>
      </c>
      <c r="Q3298" s="41">
        <v>5</v>
      </c>
      <c r="R3298" s="41">
        <v>51</v>
      </c>
      <c r="S3298" t="s">
        <v>3321</v>
      </c>
      <c r="T3298" s="30"/>
      <c r="V3298" s="30"/>
      <c r="W3298" s="30"/>
      <c r="AA3298" s="33"/>
      <c r="AB3298" s="30"/>
      <c r="AC3298" s="30"/>
      <c r="AH3298" t="s">
        <v>359</v>
      </c>
    </row>
    <row r="3299" spans="1:34" ht="15.75">
      <c r="A3299" s="29">
        <f t="shared" si="55"/>
        <v>3000</v>
      </c>
      <c r="B3299" s="30">
        <v>573</v>
      </c>
      <c r="C3299" s="30">
        <v>1</v>
      </c>
      <c r="D3299" s="30">
        <v>1817</v>
      </c>
      <c r="E3299">
        <v>12192</v>
      </c>
      <c r="H3299" t="s">
        <v>850</v>
      </c>
      <c r="I3299" s="29">
        <v>3000</v>
      </c>
      <c r="J3299">
        <v>0</v>
      </c>
      <c r="K3299" s="30" t="s">
        <v>866</v>
      </c>
      <c r="L3299" s="43" t="s">
        <v>5267</v>
      </c>
      <c r="P3299" s="41">
        <v>13</v>
      </c>
      <c r="Q3299" s="41">
        <v>12</v>
      </c>
      <c r="R3299" s="41">
        <v>38</v>
      </c>
      <c r="S3299" t="s">
        <v>3321</v>
      </c>
      <c r="AH3299" t="s">
        <v>359</v>
      </c>
    </row>
    <row r="3300" spans="1:34" ht="15.75">
      <c r="A3300" s="29">
        <f t="shared" si="55"/>
        <v>7541</v>
      </c>
      <c r="B3300" s="30">
        <v>573</v>
      </c>
      <c r="C3300" s="30">
        <v>1</v>
      </c>
      <c r="D3300" s="30">
        <v>1817</v>
      </c>
      <c r="E3300">
        <v>12193</v>
      </c>
      <c r="H3300" t="s">
        <v>850</v>
      </c>
      <c r="I3300" s="29">
        <f>4870+474+2197</f>
        <v>7541</v>
      </c>
      <c r="J3300">
        <v>0</v>
      </c>
      <c r="K3300" s="30" t="s">
        <v>866</v>
      </c>
      <c r="L3300" s="43" t="s">
        <v>5851</v>
      </c>
      <c r="P3300" s="41">
        <v>12</v>
      </c>
      <c r="Q3300" s="41">
        <v>10</v>
      </c>
      <c r="R3300" s="41" t="s">
        <v>1547</v>
      </c>
      <c r="S3300" t="s">
        <v>3321</v>
      </c>
      <c r="AH3300" t="s">
        <v>359</v>
      </c>
    </row>
    <row r="3301" spans="1:34" ht="15.75">
      <c r="A3301" s="29">
        <f t="shared" si="55"/>
        <v>92</v>
      </c>
      <c r="B3301" s="30">
        <v>573</v>
      </c>
      <c r="C3301" s="30">
        <v>1</v>
      </c>
      <c r="D3301" s="30">
        <v>1817</v>
      </c>
      <c r="E3301">
        <v>12194</v>
      </c>
      <c r="H3301" t="s">
        <v>850</v>
      </c>
      <c r="I3301" s="29">
        <v>92</v>
      </c>
      <c r="J3301">
        <v>0</v>
      </c>
      <c r="K3301" s="30" t="s">
        <v>866</v>
      </c>
      <c r="L3301" s="43" t="s">
        <v>5851</v>
      </c>
      <c r="P3301" s="41">
        <v>16</v>
      </c>
      <c r="Q3301" s="41">
        <v>8</v>
      </c>
      <c r="R3301" s="41">
        <v>76</v>
      </c>
      <c r="S3301" t="s">
        <v>3321</v>
      </c>
      <c r="AH3301" t="s">
        <v>359</v>
      </c>
    </row>
    <row r="3302" spans="1:34" ht="15.75">
      <c r="A3302" s="29">
        <f t="shared" si="55"/>
        <v>84</v>
      </c>
      <c r="B3302" s="30">
        <v>573</v>
      </c>
      <c r="C3302" s="30">
        <v>1</v>
      </c>
      <c r="D3302" s="30">
        <v>1817</v>
      </c>
      <c r="E3302">
        <v>12195</v>
      </c>
      <c r="H3302" t="s">
        <v>1549</v>
      </c>
      <c r="I3302" s="29">
        <v>84</v>
      </c>
      <c r="J3302">
        <v>0</v>
      </c>
      <c r="K3302" s="30" t="s">
        <v>866</v>
      </c>
      <c r="L3302" s="43" t="s">
        <v>5851</v>
      </c>
      <c r="P3302" s="41">
        <v>4</v>
      </c>
      <c r="Q3302" s="41">
        <v>1</v>
      </c>
      <c r="R3302" s="41" t="s">
        <v>1547</v>
      </c>
      <c r="S3302" t="s">
        <v>3321</v>
      </c>
      <c r="AH3302" t="s">
        <v>359</v>
      </c>
    </row>
    <row r="3303" spans="1:34" ht="15.75">
      <c r="A3303" s="29">
        <f t="shared" si="55"/>
        <v>3000</v>
      </c>
      <c r="B3303" s="30">
        <v>573</v>
      </c>
      <c r="C3303" s="30">
        <v>1</v>
      </c>
      <c r="D3303" s="30">
        <v>1817</v>
      </c>
      <c r="E3303">
        <v>12196</v>
      </c>
      <c r="H3303" t="s">
        <v>1549</v>
      </c>
      <c r="I3303" s="29">
        <v>3000</v>
      </c>
      <c r="J3303">
        <v>0</v>
      </c>
      <c r="K3303" s="30" t="s">
        <v>866</v>
      </c>
      <c r="L3303" s="43" t="s">
        <v>5851</v>
      </c>
      <c r="P3303" s="41">
        <v>7</v>
      </c>
      <c r="Q3303" s="41">
        <v>2</v>
      </c>
      <c r="R3303" s="41" t="s">
        <v>1547</v>
      </c>
      <c r="S3303" t="s">
        <v>3321</v>
      </c>
      <c r="AH3303" t="s">
        <v>359</v>
      </c>
    </row>
    <row r="3304" spans="1:34" ht="15.75">
      <c r="A3304" s="29">
        <f t="shared" si="55"/>
        <v>8922</v>
      </c>
      <c r="B3304" s="30">
        <v>573</v>
      </c>
      <c r="C3304" s="30">
        <v>1</v>
      </c>
      <c r="D3304" s="30">
        <v>1817</v>
      </c>
      <c r="E3304">
        <v>12197</v>
      </c>
      <c r="H3304" t="s">
        <v>1549</v>
      </c>
      <c r="I3304" s="29">
        <f>6258+2664</f>
        <v>8922</v>
      </c>
      <c r="J3304">
        <v>0</v>
      </c>
      <c r="K3304" s="30" t="s">
        <v>866</v>
      </c>
      <c r="L3304" s="43" t="s">
        <v>5272</v>
      </c>
      <c r="P3304" s="41">
        <v>7</v>
      </c>
      <c r="Q3304" s="41">
        <v>7</v>
      </c>
      <c r="R3304" s="41">
        <v>58</v>
      </c>
      <c r="S3304" t="s">
        <v>3321</v>
      </c>
      <c r="AH3304" t="s">
        <v>359</v>
      </c>
    </row>
    <row r="3305" spans="1:34" ht="15.75">
      <c r="A3305" s="29">
        <f t="shared" si="55"/>
        <v>161</v>
      </c>
      <c r="B3305" s="30">
        <v>573</v>
      </c>
      <c r="C3305" s="30">
        <v>1</v>
      </c>
      <c r="D3305" s="30">
        <v>1817</v>
      </c>
      <c r="E3305">
        <v>12198</v>
      </c>
      <c r="H3305" t="s">
        <v>850</v>
      </c>
      <c r="I3305" s="29">
        <v>161</v>
      </c>
      <c r="J3305">
        <v>0</v>
      </c>
      <c r="K3305" s="30" t="s">
        <v>866</v>
      </c>
      <c r="L3305" s="43" t="s">
        <v>5272</v>
      </c>
      <c r="P3305" s="41">
        <v>21</v>
      </c>
      <c r="Q3305" s="41">
        <v>8</v>
      </c>
      <c r="R3305" s="41">
        <v>76</v>
      </c>
      <c r="S3305" t="s">
        <v>874</v>
      </c>
      <c r="AH3305" t="s">
        <v>359</v>
      </c>
    </row>
    <row r="3306" spans="1:34" ht="15.75">
      <c r="A3306" s="29">
        <f t="shared" si="55"/>
        <v>444</v>
      </c>
      <c r="B3306" s="30">
        <v>573</v>
      </c>
      <c r="C3306" s="30">
        <v>1</v>
      </c>
      <c r="D3306" s="30">
        <v>1817</v>
      </c>
      <c r="E3306">
        <v>12199</v>
      </c>
      <c r="H3306" t="s">
        <v>1549</v>
      </c>
      <c r="I3306" s="29">
        <f>69+375</f>
        <v>444</v>
      </c>
      <c r="J3306">
        <v>0</v>
      </c>
      <c r="K3306" s="30" t="s">
        <v>866</v>
      </c>
      <c r="L3306" s="43" t="s">
        <v>5272</v>
      </c>
      <c r="O3306" s="46"/>
      <c r="P3306" s="41">
        <v>25</v>
      </c>
      <c r="Q3306" s="41">
        <v>10</v>
      </c>
      <c r="R3306" s="41" t="s">
        <v>1547</v>
      </c>
      <c r="S3306" t="s">
        <v>3321</v>
      </c>
      <c r="AH3306" t="s">
        <v>359</v>
      </c>
    </row>
    <row r="3307" spans="1:34" ht="15.75">
      <c r="A3307" s="29">
        <f t="shared" si="55"/>
        <v>58000</v>
      </c>
      <c r="B3307" s="30">
        <v>573</v>
      </c>
      <c r="C3307" s="30">
        <v>1</v>
      </c>
      <c r="D3307" s="30">
        <v>1817</v>
      </c>
      <c r="E3307">
        <v>12200</v>
      </c>
      <c r="H3307" t="s">
        <v>1549</v>
      </c>
      <c r="I3307" s="29">
        <v>0</v>
      </c>
      <c r="J3307" s="29">
        <v>2900</v>
      </c>
      <c r="K3307" s="30" t="s">
        <v>866</v>
      </c>
      <c r="L3307" s="43" t="s">
        <v>2703</v>
      </c>
      <c r="M3307" s="41" t="s">
        <v>1543</v>
      </c>
      <c r="N3307" s="41" t="s">
        <v>1545</v>
      </c>
      <c r="O3307" s="41" t="s">
        <v>190</v>
      </c>
      <c r="P3307" s="41">
        <v>30</v>
      </c>
      <c r="Q3307" s="41">
        <v>11</v>
      </c>
      <c r="S3307" t="s">
        <v>1714</v>
      </c>
      <c r="V3307" t="s">
        <v>191</v>
      </c>
      <c r="X3307">
        <v>1</v>
      </c>
      <c r="AH3307" t="s">
        <v>359</v>
      </c>
    </row>
    <row r="3308" spans="1:34" ht="15.75">
      <c r="A3308" s="29">
        <f t="shared" si="55"/>
        <v>101</v>
      </c>
      <c r="B3308" s="30">
        <v>574</v>
      </c>
      <c r="C3308" s="30">
        <v>1</v>
      </c>
      <c r="D3308" s="30">
        <v>1817</v>
      </c>
      <c r="E3308">
        <v>12228</v>
      </c>
      <c r="H3308" t="s">
        <v>850</v>
      </c>
      <c r="I3308" s="29">
        <v>101</v>
      </c>
      <c r="J3308" s="29">
        <v>0</v>
      </c>
      <c r="K3308" s="30" t="s">
        <v>866</v>
      </c>
      <c r="L3308" s="43" t="s">
        <v>5273</v>
      </c>
      <c r="P3308" s="41">
        <v>15</v>
      </c>
      <c r="Q3308" s="41">
        <v>8</v>
      </c>
      <c r="R3308" s="41">
        <v>32</v>
      </c>
      <c r="S3308" t="s">
        <v>3321</v>
      </c>
      <c r="T3308" s="30"/>
      <c r="V3308" s="30"/>
      <c r="W3308" s="30"/>
      <c r="AA3308" s="30"/>
      <c r="AB3308" s="30"/>
      <c r="AC3308" s="30"/>
      <c r="AH3308" t="s">
        <v>359</v>
      </c>
    </row>
    <row r="3309" spans="1:34" ht="15.75">
      <c r="A3309" s="29">
        <f t="shared" si="55"/>
        <v>43</v>
      </c>
      <c r="B3309" s="30">
        <v>574</v>
      </c>
      <c r="C3309" s="30">
        <v>1</v>
      </c>
      <c r="D3309" s="30">
        <v>1817</v>
      </c>
      <c r="E3309">
        <v>12229</v>
      </c>
      <c r="H3309" t="s">
        <v>850</v>
      </c>
      <c r="I3309" s="29">
        <v>43</v>
      </c>
      <c r="J3309" s="29">
        <v>0</v>
      </c>
      <c r="K3309" s="30" t="s">
        <v>866</v>
      </c>
      <c r="L3309" s="43" t="s">
        <v>5850</v>
      </c>
      <c r="P3309" s="41">
        <v>7</v>
      </c>
      <c r="Q3309" s="41">
        <v>5</v>
      </c>
      <c r="R3309" s="41">
        <v>80</v>
      </c>
      <c r="S3309" s="34" t="s">
        <v>362</v>
      </c>
      <c r="T3309" s="30"/>
      <c r="V3309" s="30"/>
      <c r="W3309" s="30"/>
      <c r="AA3309" s="30"/>
      <c r="AB3309" s="30"/>
      <c r="AC3309" s="30"/>
      <c r="AH3309" t="s">
        <v>359</v>
      </c>
    </row>
    <row r="3310" spans="1:34" ht="15.75">
      <c r="A3310" s="29">
        <f t="shared" si="55"/>
        <v>1375</v>
      </c>
      <c r="B3310" s="30">
        <v>574</v>
      </c>
      <c r="C3310" s="30">
        <v>1</v>
      </c>
      <c r="D3310" s="30">
        <v>1817</v>
      </c>
      <c r="E3310">
        <v>12230</v>
      </c>
      <c r="H3310" t="s">
        <v>850</v>
      </c>
      <c r="I3310" s="29">
        <v>1375</v>
      </c>
      <c r="J3310" s="29">
        <v>0</v>
      </c>
      <c r="K3310" s="30" t="s">
        <v>866</v>
      </c>
      <c r="L3310" s="43" t="s">
        <v>5850</v>
      </c>
      <c r="P3310" s="41">
        <v>18</v>
      </c>
      <c r="Q3310" s="41">
        <v>11</v>
      </c>
      <c r="R3310" s="41">
        <v>3</v>
      </c>
      <c r="S3310" s="34" t="s">
        <v>884</v>
      </c>
      <c r="T3310" s="30"/>
      <c r="V3310" s="30"/>
      <c r="W3310" s="30"/>
      <c r="Y3310" s="30"/>
      <c r="AA3310" s="30"/>
      <c r="AB3310" s="30"/>
      <c r="AH3310" t="s">
        <v>359</v>
      </c>
    </row>
    <row r="3311" spans="1:34" ht="15.75">
      <c r="A3311" s="29">
        <f t="shared" si="55"/>
        <v>626</v>
      </c>
      <c r="B3311" s="30">
        <v>574</v>
      </c>
      <c r="C3311" s="30">
        <v>1</v>
      </c>
      <c r="D3311" s="30">
        <v>1817</v>
      </c>
      <c r="E3311">
        <v>12231</v>
      </c>
      <c r="H3311" t="s">
        <v>1549</v>
      </c>
      <c r="I3311" s="29">
        <v>626</v>
      </c>
      <c r="J3311" s="29">
        <v>0</v>
      </c>
      <c r="K3311" s="30" t="s">
        <v>866</v>
      </c>
      <c r="L3311" s="43" t="s">
        <v>5277</v>
      </c>
      <c r="P3311" s="41">
        <v>13</v>
      </c>
      <c r="Q3311" s="41">
        <v>2</v>
      </c>
      <c r="R3311" s="41">
        <v>76</v>
      </c>
      <c r="S3311" s="34" t="s">
        <v>362</v>
      </c>
      <c r="T3311" s="30"/>
      <c r="V3311" s="30"/>
      <c r="W3311" s="30"/>
      <c r="AA3311" s="30"/>
      <c r="AB3311" s="30"/>
      <c r="AC3311" s="30"/>
      <c r="AH3311" t="s">
        <v>359</v>
      </c>
    </row>
    <row r="3312" spans="1:34" ht="15.75">
      <c r="A3312" s="29">
        <f t="shared" si="55"/>
        <v>3775</v>
      </c>
      <c r="B3312" s="30">
        <v>574</v>
      </c>
      <c r="C3312" s="30">
        <v>1</v>
      </c>
      <c r="D3312" s="30">
        <v>1817</v>
      </c>
      <c r="E3312">
        <v>12233</v>
      </c>
      <c r="H3312" t="s">
        <v>1549</v>
      </c>
      <c r="I3312" s="29">
        <f>2543+1232</f>
        <v>3775</v>
      </c>
      <c r="J3312" s="29">
        <v>0</v>
      </c>
      <c r="K3312" s="30" t="s">
        <v>866</v>
      </c>
      <c r="L3312" s="43" t="s">
        <v>5277</v>
      </c>
      <c r="P3312" s="41">
        <v>18</v>
      </c>
      <c r="Q3312" s="41">
        <v>7</v>
      </c>
      <c r="R3312" s="41" t="s">
        <v>1547</v>
      </c>
      <c r="S3312" t="s">
        <v>3321</v>
      </c>
      <c r="T3312" s="30"/>
      <c r="V3312" s="30"/>
      <c r="W3312" s="30"/>
      <c r="AA3312" s="30"/>
      <c r="AB3312" s="30"/>
      <c r="AC3312" s="30"/>
      <c r="AH3312" t="s">
        <v>359</v>
      </c>
    </row>
    <row r="3313" spans="1:34" ht="15.75">
      <c r="A3313" s="29">
        <f t="shared" si="55"/>
        <v>174</v>
      </c>
      <c r="B3313" s="30">
        <v>574</v>
      </c>
      <c r="C3313" s="30">
        <v>1</v>
      </c>
      <c r="D3313" s="30">
        <v>1817</v>
      </c>
      <c r="E3313">
        <v>12234</v>
      </c>
      <c r="H3313" t="s">
        <v>1549</v>
      </c>
      <c r="I3313" s="29">
        <v>174</v>
      </c>
      <c r="J3313" s="29">
        <v>0</v>
      </c>
      <c r="K3313" s="30" t="s">
        <v>866</v>
      </c>
      <c r="L3313" s="43" t="s">
        <v>5281</v>
      </c>
      <c r="P3313" s="41">
        <v>5</v>
      </c>
      <c r="Q3313" s="41">
        <v>12</v>
      </c>
      <c r="R3313" s="41">
        <v>82</v>
      </c>
      <c r="S3313" t="s">
        <v>3321</v>
      </c>
      <c r="T3313" s="30"/>
      <c r="V3313" s="36"/>
      <c r="W3313" s="36"/>
      <c r="AA3313" s="30"/>
      <c r="AB3313" s="30"/>
      <c r="AC3313" s="30"/>
      <c r="AH3313" t="s">
        <v>359</v>
      </c>
    </row>
    <row r="3314" spans="1:34" ht="15.75">
      <c r="A3314" s="29">
        <f t="shared" si="55"/>
        <v>532</v>
      </c>
      <c r="B3314" s="30">
        <v>574</v>
      </c>
      <c r="C3314" s="30">
        <v>1</v>
      </c>
      <c r="D3314" s="30">
        <v>1817</v>
      </c>
      <c r="E3314">
        <v>12235</v>
      </c>
      <c r="H3314" t="s">
        <v>1549</v>
      </c>
      <c r="I3314" s="29">
        <v>532</v>
      </c>
      <c r="J3314" s="29">
        <v>0</v>
      </c>
      <c r="K3314" s="30" t="s">
        <v>866</v>
      </c>
      <c r="L3314" s="43" t="s">
        <v>3698</v>
      </c>
      <c r="P3314" s="41">
        <v>16</v>
      </c>
      <c r="Q3314" s="41">
        <v>3</v>
      </c>
      <c r="R3314" s="41">
        <v>74</v>
      </c>
      <c r="S3314" s="34" t="s">
        <v>362</v>
      </c>
      <c r="T3314" s="30"/>
      <c r="V3314" s="30"/>
      <c r="W3314" s="30"/>
      <c r="AA3314" s="30"/>
      <c r="AB3314" s="30"/>
      <c r="AC3314" s="30"/>
      <c r="AH3314" t="s">
        <v>359</v>
      </c>
    </row>
    <row r="3315" spans="1:34" ht="15.75">
      <c r="A3315" s="29">
        <f t="shared" si="55"/>
        <v>16484</v>
      </c>
      <c r="B3315" s="30">
        <v>574</v>
      </c>
      <c r="C3315" s="30">
        <v>1</v>
      </c>
      <c r="D3315" s="30">
        <v>1817</v>
      </c>
      <c r="E3315">
        <v>12236</v>
      </c>
      <c r="H3315" t="s">
        <v>1549</v>
      </c>
      <c r="I3315" s="29">
        <f>16201+283</f>
        <v>16484</v>
      </c>
      <c r="J3315" s="29">
        <v>0</v>
      </c>
      <c r="K3315" s="30" t="s">
        <v>866</v>
      </c>
      <c r="L3315" s="43" t="s">
        <v>2780</v>
      </c>
      <c r="P3315" s="41">
        <v>21</v>
      </c>
      <c r="Q3315" s="41">
        <v>4</v>
      </c>
      <c r="R3315" s="41">
        <v>65</v>
      </c>
      <c r="S3315" s="34" t="s">
        <v>1547</v>
      </c>
      <c r="T3315" s="30"/>
      <c r="V3315" s="30"/>
      <c r="W3315" s="30"/>
      <c r="AA3315" s="30"/>
      <c r="AB3315" s="30"/>
      <c r="AC3315" s="30"/>
      <c r="AH3315" t="s">
        <v>359</v>
      </c>
    </row>
    <row r="3316" spans="1:34" ht="15.75">
      <c r="A3316" s="29">
        <f t="shared" si="55"/>
        <v>2331</v>
      </c>
      <c r="B3316" s="30">
        <v>574</v>
      </c>
      <c r="C3316" s="30">
        <v>1</v>
      </c>
      <c r="D3316" s="30">
        <v>1817</v>
      </c>
      <c r="E3316">
        <v>12237</v>
      </c>
      <c r="H3316" t="s">
        <v>850</v>
      </c>
      <c r="I3316" s="29">
        <v>2331</v>
      </c>
      <c r="J3316" s="29">
        <v>0</v>
      </c>
      <c r="K3316" s="30" t="s">
        <v>866</v>
      </c>
      <c r="L3316" s="43" t="s">
        <v>5286</v>
      </c>
      <c r="P3316" s="41">
        <v>18</v>
      </c>
      <c r="Q3316" s="41">
        <v>7</v>
      </c>
      <c r="R3316" s="41">
        <v>10</v>
      </c>
      <c r="S3316" s="34" t="s">
        <v>884</v>
      </c>
      <c r="T3316" s="30"/>
      <c r="V3316" s="30"/>
      <c r="W3316" s="30"/>
      <c r="AA3316" s="30"/>
      <c r="AB3316" s="30"/>
      <c r="AC3316" s="30"/>
      <c r="AH3316" t="s">
        <v>359</v>
      </c>
    </row>
    <row r="3317" spans="1:34" ht="15.75">
      <c r="A3317" s="29">
        <f t="shared" si="55"/>
        <v>7500</v>
      </c>
      <c r="B3317" s="30">
        <v>574</v>
      </c>
      <c r="C3317" s="30">
        <v>1</v>
      </c>
      <c r="D3317" s="30">
        <v>1817</v>
      </c>
      <c r="E3317">
        <v>12238</v>
      </c>
      <c r="H3317" t="s">
        <v>1549</v>
      </c>
      <c r="I3317" s="29">
        <v>0</v>
      </c>
      <c r="J3317" s="29">
        <v>750</v>
      </c>
      <c r="K3317" s="30" t="s">
        <v>866</v>
      </c>
      <c r="L3317" s="43" t="s">
        <v>5689</v>
      </c>
      <c r="M3317" s="41" t="s">
        <v>3362</v>
      </c>
      <c r="N3317" s="41" t="s">
        <v>195</v>
      </c>
      <c r="O3317" s="41" t="s">
        <v>196</v>
      </c>
      <c r="P3317" s="41">
        <v>2</v>
      </c>
      <c r="Q3317" s="41">
        <v>8</v>
      </c>
      <c r="R3317" s="41" t="s">
        <v>1547</v>
      </c>
      <c r="S3317" s="34" t="s">
        <v>5690</v>
      </c>
      <c r="T3317" s="30" t="s">
        <v>5691</v>
      </c>
      <c r="U3317" t="s">
        <v>196</v>
      </c>
      <c r="V3317" s="30" t="s">
        <v>197</v>
      </c>
      <c r="W3317" s="30"/>
      <c r="X3317">
        <f>1/2</f>
        <v>0.5</v>
      </c>
      <c r="Y3317" t="s">
        <v>198</v>
      </c>
      <c r="AA3317" s="30"/>
      <c r="AB3317" s="30"/>
      <c r="AC3317" s="30"/>
      <c r="AH3317" t="s">
        <v>359</v>
      </c>
    </row>
    <row r="3318" spans="1:34" ht="15.75">
      <c r="A3318" s="29">
        <f t="shared" si="55"/>
        <v>2441</v>
      </c>
      <c r="B3318" s="30">
        <v>574</v>
      </c>
      <c r="C3318" s="30">
        <v>1</v>
      </c>
      <c r="D3318" s="30">
        <v>1817</v>
      </c>
      <c r="E3318">
        <v>12239</v>
      </c>
      <c r="H3318" t="s">
        <v>850</v>
      </c>
      <c r="I3318" s="29">
        <v>2441</v>
      </c>
      <c r="J3318" s="29">
        <v>0</v>
      </c>
      <c r="K3318" s="30" t="s">
        <v>866</v>
      </c>
      <c r="L3318" s="43" t="s">
        <v>5291</v>
      </c>
      <c r="P3318" s="41">
        <v>24</v>
      </c>
      <c r="Q3318" s="41">
        <v>2</v>
      </c>
      <c r="R3318" s="41">
        <v>19</v>
      </c>
      <c r="S3318" s="34" t="s">
        <v>1547</v>
      </c>
      <c r="T3318" s="30"/>
      <c r="V3318" s="30"/>
      <c r="W3318" s="30"/>
      <c r="AA3318" s="30"/>
      <c r="AB3318" s="30"/>
      <c r="AC3318" s="30"/>
      <c r="AH3318" t="s">
        <v>359</v>
      </c>
    </row>
    <row r="3319" spans="1:34" ht="15.75">
      <c r="A3319" s="29">
        <f t="shared" si="55"/>
        <v>20869</v>
      </c>
      <c r="B3319" s="31">
        <v>574</v>
      </c>
      <c r="C3319" s="31">
        <v>1</v>
      </c>
      <c r="D3319" s="31">
        <v>1817</v>
      </c>
      <c r="E3319">
        <v>12240</v>
      </c>
      <c r="F3319" s="9"/>
      <c r="G3319" s="9"/>
      <c r="H3319" s="9" t="s">
        <v>1549</v>
      </c>
      <c r="I3319" s="32">
        <f>19555+826+190+298</f>
        <v>20869</v>
      </c>
      <c r="J3319" s="32">
        <v>0</v>
      </c>
      <c r="K3319" s="30" t="s">
        <v>866</v>
      </c>
      <c r="L3319" s="43" t="s">
        <v>199</v>
      </c>
      <c r="M3319" s="43" t="s">
        <v>3142</v>
      </c>
      <c r="N3319" s="43" t="s">
        <v>200</v>
      </c>
      <c r="O3319" s="43" t="s">
        <v>201</v>
      </c>
      <c r="P3319" s="41">
        <v>15</v>
      </c>
      <c r="Q3319" s="41">
        <v>9</v>
      </c>
      <c r="R3319" s="41">
        <v>75</v>
      </c>
      <c r="S3319" s="34" t="s">
        <v>3800</v>
      </c>
      <c r="T3319" s="30" t="s">
        <v>202</v>
      </c>
      <c r="V3319" s="30" t="s">
        <v>203</v>
      </c>
      <c r="W3319" s="30"/>
      <c r="AA3319" s="30"/>
      <c r="AB3319" s="30"/>
      <c r="AC3319" s="30"/>
      <c r="AH3319" t="s">
        <v>359</v>
      </c>
    </row>
    <row r="3320" spans="1:34" ht="15.75">
      <c r="A3320" s="29">
        <f t="shared" si="55"/>
        <v>2844</v>
      </c>
      <c r="B3320" s="30">
        <v>575</v>
      </c>
      <c r="C3320" s="30">
        <v>1</v>
      </c>
      <c r="D3320" s="30">
        <v>1817</v>
      </c>
      <c r="E3320">
        <v>12266</v>
      </c>
      <c r="H3320" s="30" t="s">
        <v>1541</v>
      </c>
      <c r="I3320" s="30">
        <f>1646+1198</f>
        <v>2844</v>
      </c>
      <c r="J3320" s="30">
        <v>0</v>
      </c>
      <c r="K3320" s="30" t="s">
        <v>867</v>
      </c>
      <c r="L3320" s="43" t="s">
        <v>5295</v>
      </c>
      <c r="P3320" s="41">
        <v>13</v>
      </c>
      <c r="Q3320" s="41">
        <v>7</v>
      </c>
      <c r="R3320" s="41">
        <v>47</v>
      </c>
      <c r="S3320" t="s">
        <v>3321</v>
      </c>
      <c r="AH3320" t="s">
        <v>359</v>
      </c>
    </row>
    <row r="3321" spans="1:34" ht="15.75">
      <c r="A3321" s="29">
        <f t="shared" si="55"/>
        <v>8203</v>
      </c>
      <c r="B3321" s="30">
        <v>575</v>
      </c>
      <c r="C3321" s="30">
        <v>1</v>
      </c>
      <c r="D3321" s="30">
        <v>1817</v>
      </c>
      <c r="E3321">
        <v>12267</v>
      </c>
      <c r="H3321" s="30" t="s">
        <v>1540</v>
      </c>
      <c r="I3321" s="30">
        <v>8203</v>
      </c>
      <c r="J3321" s="30">
        <v>0</v>
      </c>
      <c r="K3321" s="30" t="s">
        <v>867</v>
      </c>
      <c r="L3321" s="43" t="s">
        <v>5297</v>
      </c>
      <c r="P3321" s="41">
        <v>24</v>
      </c>
      <c r="Q3321" s="41">
        <v>12</v>
      </c>
      <c r="R3321" s="41">
        <v>71</v>
      </c>
      <c r="S3321" t="s">
        <v>3321</v>
      </c>
      <c r="AH3321" t="s">
        <v>359</v>
      </c>
    </row>
    <row r="3322" spans="1:34" ht="15.75">
      <c r="A3322" s="29">
        <f t="shared" si="55"/>
        <v>175</v>
      </c>
      <c r="B3322" s="30">
        <v>575</v>
      </c>
      <c r="C3322" s="30">
        <v>1</v>
      </c>
      <c r="D3322" s="30">
        <v>1817</v>
      </c>
      <c r="E3322">
        <v>12268</v>
      </c>
      <c r="H3322" s="30" t="s">
        <v>1540</v>
      </c>
      <c r="I3322" s="30">
        <v>175</v>
      </c>
      <c r="J3322" s="30">
        <v>0</v>
      </c>
      <c r="K3322" s="30" t="s">
        <v>867</v>
      </c>
      <c r="L3322" s="43" t="s">
        <v>2895</v>
      </c>
      <c r="P3322" s="41">
        <v>28</v>
      </c>
      <c r="Q3322" s="41">
        <v>3</v>
      </c>
      <c r="R3322" s="41">
        <v>70</v>
      </c>
      <c r="S3322" t="s">
        <v>3321</v>
      </c>
      <c r="AH3322" t="s">
        <v>359</v>
      </c>
    </row>
    <row r="3323" spans="1:34" ht="15.75">
      <c r="A3323" s="29">
        <f t="shared" si="55"/>
        <v>10219</v>
      </c>
      <c r="B3323" s="30">
        <v>575</v>
      </c>
      <c r="C3323" s="30">
        <v>1</v>
      </c>
      <c r="D3323" s="30">
        <v>1817</v>
      </c>
      <c r="E3323">
        <v>12269</v>
      </c>
      <c r="H3323" s="30" t="s">
        <v>1540</v>
      </c>
      <c r="I3323" s="30">
        <f>9269+950</f>
        <v>10219</v>
      </c>
      <c r="J3323" s="30">
        <v>0</v>
      </c>
      <c r="K3323" s="30" t="s">
        <v>867</v>
      </c>
      <c r="L3323" s="43" t="s">
        <v>2895</v>
      </c>
      <c r="P3323" s="41">
        <v>26</v>
      </c>
      <c r="Q3323" s="41">
        <v>7</v>
      </c>
      <c r="R3323" s="41" t="s">
        <v>1547</v>
      </c>
      <c r="S3323" t="s">
        <v>3321</v>
      </c>
      <c r="U3323" t="s">
        <v>204</v>
      </c>
      <c r="AH3323" t="s">
        <v>359</v>
      </c>
    </row>
    <row r="3324" spans="1:34" ht="15.75">
      <c r="A3324" s="29">
        <f t="shared" si="55"/>
        <v>160</v>
      </c>
      <c r="B3324" s="30">
        <v>575</v>
      </c>
      <c r="C3324" s="30">
        <v>1</v>
      </c>
      <c r="D3324" s="30">
        <v>1817</v>
      </c>
      <c r="E3324">
        <v>12270</v>
      </c>
      <c r="H3324" s="30" t="s">
        <v>1540</v>
      </c>
      <c r="I3324" s="30">
        <v>160</v>
      </c>
      <c r="J3324" s="30">
        <v>0</v>
      </c>
      <c r="K3324" s="30" t="s">
        <v>867</v>
      </c>
      <c r="L3324" s="43" t="s">
        <v>2895</v>
      </c>
      <c r="P3324" s="41">
        <v>25</v>
      </c>
      <c r="Q3324" s="41">
        <v>12</v>
      </c>
      <c r="R3324" s="41">
        <v>47</v>
      </c>
      <c r="S3324" t="s">
        <v>3321</v>
      </c>
      <c r="AH3324" t="s">
        <v>359</v>
      </c>
    </row>
    <row r="3325" spans="1:34" ht="15.75">
      <c r="A3325" s="29">
        <f t="shared" si="55"/>
        <v>1213</v>
      </c>
      <c r="B3325" s="30">
        <v>575</v>
      </c>
      <c r="C3325" s="30">
        <v>1</v>
      </c>
      <c r="D3325" s="30">
        <v>1817</v>
      </c>
      <c r="E3325">
        <v>12271</v>
      </c>
      <c r="H3325" s="30" t="s">
        <v>1541</v>
      </c>
      <c r="I3325" s="30">
        <v>1213</v>
      </c>
      <c r="J3325" s="30">
        <v>0</v>
      </c>
      <c r="K3325" s="30" t="s">
        <v>867</v>
      </c>
      <c r="L3325" s="43" t="s">
        <v>2895</v>
      </c>
      <c r="P3325" s="41">
        <v>20</v>
      </c>
      <c r="Q3325" s="41">
        <v>12</v>
      </c>
      <c r="R3325" s="41">
        <v>26</v>
      </c>
      <c r="S3325" t="s">
        <v>3321</v>
      </c>
      <c r="AH3325" t="s">
        <v>359</v>
      </c>
    </row>
    <row r="3326" spans="1:34" ht="15.75">
      <c r="A3326" s="29">
        <f t="shared" si="55"/>
        <v>40</v>
      </c>
      <c r="B3326" s="30">
        <v>575</v>
      </c>
      <c r="C3326" s="30">
        <v>1</v>
      </c>
      <c r="D3326" s="30">
        <v>1817</v>
      </c>
      <c r="E3326">
        <v>12272</v>
      </c>
      <c r="H3326" s="30" t="s">
        <v>1540</v>
      </c>
      <c r="I3326" s="30">
        <v>40</v>
      </c>
      <c r="J3326" s="30">
        <v>0</v>
      </c>
      <c r="K3326" s="30" t="s">
        <v>867</v>
      </c>
      <c r="L3326" s="43" t="s">
        <v>2898</v>
      </c>
      <c r="P3326" s="41">
        <v>30</v>
      </c>
      <c r="Q3326" s="41">
        <v>6</v>
      </c>
      <c r="R3326" s="41">
        <v>67</v>
      </c>
      <c r="S3326" t="s">
        <v>3321</v>
      </c>
      <c r="AH3326" t="s">
        <v>359</v>
      </c>
    </row>
    <row r="3327" spans="1:34" ht="15.75">
      <c r="A3327" s="29">
        <f t="shared" si="55"/>
        <v>2394</v>
      </c>
      <c r="B3327" s="30">
        <v>575</v>
      </c>
      <c r="C3327" s="30">
        <v>1</v>
      </c>
      <c r="D3327" s="30">
        <v>1817</v>
      </c>
      <c r="E3327">
        <v>12273</v>
      </c>
      <c r="H3327" s="30" t="s">
        <v>1541</v>
      </c>
      <c r="I3327" s="30">
        <f>2144+250</f>
        <v>2394</v>
      </c>
      <c r="J3327" s="30">
        <v>0</v>
      </c>
      <c r="K3327" s="30" t="s">
        <v>867</v>
      </c>
      <c r="L3327" s="43" t="s">
        <v>2898</v>
      </c>
      <c r="P3327" s="41">
        <v>22</v>
      </c>
      <c r="Q3327" s="41">
        <v>7</v>
      </c>
      <c r="R3327" s="41">
        <v>28</v>
      </c>
      <c r="S3327" t="s">
        <v>3321</v>
      </c>
      <c r="AH3327" t="s">
        <v>359</v>
      </c>
    </row>
    <row r="3328" spans="1:34" ht="15.75">
      <c r="A3328" s="29">
        <f t="shared" si="55"/>
        <v>11795</v>
      </c>
      <c r="B3328" s="30">
        <v>575</v>
      </c>
      <c r="C3328" s="30">
        <v>1</v>
      </c>
      <c r="D3328" s="30">
        <v>1817</v>
      </c>
      <c r="E3328">
        <v>12274</v>
      </c>
      <c r="H3328" s="30" t="s">
        <v>1541</v>
      </c>
      <c r="I3328" s="30">
        <v>11795</v>
      </c>
      <c r="J3328" s="30">
        <v>0</v>
      </c>
      <c r="K3328" s="30" t="s">
        <v>867</v>
      </c>
      <c r="L3328" s="43" t="s">
        <v>2899</v>
      </c>
      <c r="P3328" s="41">
        <v>9</v>
      </c>
      <c r="Q3328" s="41">
        <v>8</v>
      </c>
      <c r="R3328" s="41">
        <v>61</v>
      </c>
      <c r="S3328" t="s">
        <v>3321</v>
      </c>
      <c r="AH3328" t="s">
        <v>359</v>
      </c>
    </row>
    <row r="3329" spans="1:34" ht="15.75">
      <c r="A3329" s="29">
        <f t="shared" si="55"/>
        <v>100</v>
      </c>
      <c r="B3329" s="30">
        <v>575</v>
      </c>
      <c r="C3329" s="30">
        <v>1</v>
      </c>
      <c r="D3329" s="30">
        <v>1817</v>
      </c>
      <c r="E3329">
        <v>12275</v>
      </c>
      <c r="H3329" s="30" t="s">
        <v>1540</v>
      </c>
      <c r="I3329" s="30">
        <v>100</v>
      </c>
      <c r="J3329" s="30">
        <v>0</v>
      </c>
      <c r="K3329" s="30" t="s">
        <v>867</v>
      </c>
      <c r="L3329" s="43" t="s">
        <v>377</v>
      </c>
      <c r="P3329" s="41">
        <v>5</v>
      </c>
      <c r="Q3329" s="41">
        <v>8</v>
      </c>
      <c r="R3329" s="41">
        <v>52</v>
      </c>
      <c r="S3329" t="s">
        <v>3321</v>
      </c>
      <c r="AH3329" t="s">
        <v>359</v>
      </c>
    </row>
    <row r="3330" spans="1:34" ht="15.75">
      <c r="A3330" s="29">
        <f t="shared" si="55"/>
        <v>13357</v>
      </c>
      <c r="B3330" s="30">
        <v>575</v>
      </c>
      <c r="C3330" s="30">
        <v>1</v>
      </c>
      <c r="D3330" s="30">
        <v>1817</v>
      </c>
      <c r="E3330">
        <v>12276</v>
      </c>
      <c r="H3330" s="30" t="s">
        <v>1541</v>
      </c>
      <c r="I3330" s="30">
        <f>2500+10857</f>
        <v>13357</v>
      </c>
      <c r="J3330" s="30">
        <v>0</v>
      </c>
      <c r="K3330" s="30" t="s">
        <v>867</v>
      </c>
      <c r="L3330" s="43" t="s">
        <v>377</v>
      </c>
      <c r="P3330" s="41">
        <v>19</v>
      </c>
      <c r="Q3330" s="41">
        <v>8</v>
      </c>
      <c r="R3330" s="41">
        <v>33</v>
      </c>
      <c r="S3330" t="s">
        <v>3321</v>
      </c>
      <c r="AH3330" t="s">
        <v>359</v>
      </c>
    </row>
    <row r="3331" spans="1:34" ht="15.75">
      <c r="A3331" s="29">
        <f t="shared" si="55"/>
        <v>329</v>
      </c>
      <c r="B3331" s="30">
        <v>575</v>
      </c>
      <c r="C3331" s="30">
        <v>1</v>
      </c>
      <c r="D3331" s="30">
        <v>1817</v>
      </c>
      <c r="E3331">
        <v>12277</v>
      </c>
      <c r="H3331" s="30" t="s">
        <v>1541</v>
      </c>
      <c r="I3331" s="30">
        <v>329</v>
      </c>
      <c r="J3331" s="30">
        <v>0</v>
      </c>
      <c r="K3331" s="30" t="s">
        <v>867</v>
      </c>
      <c r="L3331" s="43" t="s">
        <v>377</v>
      </c>
      <c r="P3331" s="41">
        <v>26</v>
      </c>
      <c r="Q3331" s="41">
        <v>3</v>
      </c>
      <c r="R3331" s="41">
        <v>36</v>
      </c>
      <c r="S3331" t="s">
        <v>850</v>
      </c>
      <c r="AH3331" t="s">
        <v>359</v>
      </c>
    </row>
    <row r="3332" spans="1:34" ht="15.75">
      <c r="A3332" s="29">
        <f t="shared" si="55"/>
        <v>94</v>
      </c>
      <c r="B3332" s="30">
        <v>575</v>
      </c>
      <c r="C3332" s="30">
        <v>1</v>
      </c>
      <c r="D3332" s="30">
        <v>1817</v>
      </c>
      <c r="E3332">
        <v>12278</v>
      </c>
      <c r="H3332" s="30" t="s">
        <v>1541</v>
      </c>
      <c r="I3332" s="30">
        <v>94</v>
      </c>
      <c r="J3332" s="30">
        <v>0</v>
      </c>
      <c r="K3332" s="30" t="s">
        <v>867</v>
      </c>
      <c r="L3332" s="43" t="s">
        <v>377</v>
      </c>
      <c r="P3332" s="41">
        <v>31</v>
      </c>
      <c r="Q3332" s="41">
        <v>8</v>
      </c>
      <c r="R3332" s="41">
        <v>56</v>
      </c>
      <c r="S3332" t="s">
        <v>850</v>
      </c>
      <c r="AH3332" t="s">
        <v>359</v>
      </c>
    </row>
    <row r="3333" spans="1:34" ht="15.75">
      <c r="A3333" s="29">
        <f t="shared" si="55"/>
        <v>1495</v>
      </c>
      <c r="B3333" s="30">
        <v>575</v>
      </c>
      <c r="C3333" s="30">
        <v>1</v>
      </c>
      <c r="D3333" s="30">
        <v>1817</v>
      </c>
      <c r="E3333">
        <v>12279</v>
      </c>
      <c r="H3333" s="30" t="s">
        <v>1540</v>
      </c>
      <c r="I3333" s="30">
        <v>1495</v>
      </c>
      <c r="J3333" s="30">
        <v>0</v>
      </c>
      <c r="K3333" s="30" t="s">
        <v>867</v>
      </c>
      <c r="L3333" s="43" t="s">
        <v>377</v>
      </c>
      <c r="P3333" s="41">
        <v>24</v>
      </c>
      <c r="Q3333" s="41">
        <v>2</v>
      </c>
      <c r="R3333" s="41">
        <v>60</v>
      </c>
      <c r="AH3333" t="s">
        <v>359</v>
      </c>
    </row>
    <row r="3334" spans="1:34" ht="15.75">
      <c r="A3334" s="29">
        <f t="shared" si="55"/>
        <v>5876</v>
      </c>
      <c r="B3334" s="30">
        <v>575</v>
      </c>
      <c r="C3334" s="30">
        <v>1</v>
      </c>
      <c r="D3334" s="30">
        <v>1817</v>
      </c>
      <c r="E3334">
        <v>12280</v>
      </c>
      <c r="H3334" s="30" t="s">
        <v>1540</v>
      </c>
      <c r="I3334" s="30">
        <f>3786+2090</f>
        <v>5876</v>
      </c>
      <c r="J3334" s="30">
        <v>0</v>
      </c>
      <c r="K3334" s="30" t="s">
        <v>867</v>
      </c>
      <c r="L3334" s="43" t="s">
        <v>377</v>
      </c>
      <c r="P3334" s="41">
        <v>29</v>
      </c>
      <c r="Q3334" s="41">
        <v>1</v>
      </c>
      <c r="R3334" s="41">
        <v>37</v>
      </c>
      <c r="S3334" t="s">
        <v>3321</v>
      </c>
      <c r="AH3334" t="s">
        <v>359</v>
      </c>
    </row>
    <row r="3335" spans="1:34" ht="15.75">
      <c r="A3335" s="29">
        <f t="shared" si="55"/>
        <v>1194</v>
      </c>
      <c r="B3335" s="30">
        <v>575</v>
      </c>
      <c r="C3335" s="30">
        <v>1</v>
      </c>
      <c r="D3335" s="30">
        <v>1817</v>
      </c>
      <c r="E3335">
        <v>12281</v>
      </c>
      <c r="H3335" s="30" t="s">
        <v>1540</v>
      </c>
      <c r="I3335" s="30">
        <v>1194</v>
      </c>
      <c r="J3335" s="30">
        <v>0</v>
      </c>
      <c r="K3335" s="30" t="s">
        <v>867</v>
      </c>
      <c r="L3335" s="43" t="s">
        <v>377</v>
      </c>
      <c r="P3335" s="41">
        <v>10</v>
      </c>
      <c r="Q3335" s="41">
        <v>8</v>
      </c>
      <c r="R3335" s="41" t="s">
        <v>1547</v>
      </c>
      <c r="S3335" t="s">
        <v>3321</v>
      </c>
      <c r="AH3335" t="s">
        <v>359</v>
      </c>
    </row>
    <row r="3336" spans="1:34" ht="15.75">
      <c r="A3336" s="29">
        <f t="shared" si="55"/>
        <v>29847</v>
      </c>
      <c r="B3336" s="31">
        <v>575</v>
      </c>
      <c r="C3336" s="31">
        <v>1</v>
      </c>
      <c r="D3336" s="31">
        <v>1817</v>
      </c>
      <c r="E3336">
        <v>12282</v>
      </c>
      <c r="F3336" s="9"/>
      <c r="G3336" s="9"/>
      <c r="H3336" s="31" t="s">
        <v>1540</v>
      </c>
      <c r="I3336" s="31">
        <v>29847</v>
      </c>
      <c r="J3336" s="31">
        <v>0</v>
      </c>
      <c r="K3336" s="30" t="s">
        <v>867</v>
      </c>
      <c r="L3336" s="43" t="s">
        <v>205</v>
      </c>
      <c r="M3336" s="43" t="s">
        <v>206</v>
      </c>
      <c r="N3336" s="43" t="s">
        <v>207</v>
      </c>
      <c r="O3336" s="43" t="s">
        <v>208</v>
      </c>
      <c r="P3336" s="43">
        <v>11</v>
      </c>
      <c r="Q3336" s="43">
        <v>12</v>
      </c>
      <c r="R3336" s="43" t="s">
        <v>1547</v>
      </c>
      <c r="S3336" s="9" t="s">
        <v>1721</v>
      </c>
      <c r="T3336" s="9" t="s">
        <v>210</v>
      </c>
      <c r="U3336" s="9" t="s">
        <v>209</v>
      </c>
      <c r="V3336" s="9" t="s">
        <v>211</v>
      </c>
      <c r="W3336" s="9"/>
      <c r="AH3336" t="s">
        <v>359</v>
      </c>
    </row>
    <row r="3337" spans="1:34" ht="15.75">
      <c r="A3337" s="29">
        <f t="shared" si="55"/>
        <v>58646</v>
      </c>
      <c r="B3337" s="30">
        <v>576</v>
      </c>
      <c r="C3337" s="30">
        <v>1</v>
      </c>
      <c r="D3337" s="30">
        <v>1817</v>
      </c>
      <c r="E3337">
        <v>12315</v>
      </c>
      <c r="H3337" s="30" t="s">
        <v>1540</v>
      </c>
      <c r="I3337" s="30">
        <v>58646</v>
      </c>
      <c r="J3337" s="30">
        <v>0</v>
      </c>
      <c r="K3337" s="30" t="s">
        <v>867</v>
      </c>
      <c r="L3337" s="43" t="s">
        <v>212</v>
      </c>
      <c r="M3337" s="41" t="s">
        <v>598</v>
      </c>
      <c r="O3337" s="41" t="s">
        <v>213</v>
      </c>
      <c r="P3337" s="41">
        <v>19</v>
      </c>
      <c r="Q3337" s="41">
        <v>11</v>
      </c>
      <c r="R3337" s="41">
        <v>77</v>
      </c>
      <c r="S3337" t="s">
        <v>847</v>
      </c>
      <c r="T3337" t="s">
        <v>214</v>
      </c>
      <c r="V3337" t="s">
        <v>215</v>
      </c>
      <c r="AH3337" t="s">
        <v>359</v>
      </c>
    </row>
    <row r="3338" spans="1:34" ht="15.75">
      <c r="A3338" s="29">
        <f t="shared" si="55"/>
        <v>36941</v>
      </c>
      <c r="B3338" s="30">
        <v>576</v>
      </c>
      <c r="C3338" s="30">
        <v>1</v>
      </c>
      <c r="D3338" s="30">
        <v>1817</v>
      </c>
      <c r="E3338">
        <v>12316</v>
      </c>
      <c r="H3338" s="30" t="s">
        <v>1540</v>
      </c>
      <c r="I3338" s="30">
        <f>22979+8218+5744</f>
        <v>36941</v>
      </c>
      <c r="J3338" s="30">
        <v>0</v>
      </c>
      <c r="K3338" s="30" t="s">
        <v>867</v>
      </c>
      <c r="L3338" s="43" t="s">
        <v>216</v>
      </c>
      <c r="M3338" s="41" t="s">
        <v>5316</v>
      </c>
      <c r="N3338" s="41" t="s">
        <v>217</v>
      </c>
      <c r="O3338" s="41" t="s">
        <v>218</v>
      </c>
      <c r="P3338" s="41">
        <v>3</v>
      </c>
      <c r="Q3338" s="41">
        <v>1</v>
      </c>
      <c r="R3338" s="41">
        <v>51</v>
      </c>
      <c r="S3338" t="s">
        <v>1717</v>
      </c>
      <c r="T3338" t="s">
        <v>372</v>
      </c>
      <c r="V3338" t="s">
        <v>219</v>
      </c>
      <c r="AH3338" t="s">
        <v>359</v>
      </c>
    </row>
    <row r="3339" spans="1:34" ht="15.75">
      <c r="A3339" s="29">
        <f t="shared" si="55"/>
        <v>148</v>
      </c>
      <c r="B3339" s="30">
        <v>576</v>
      </c>
      <c r="C3339" s="30">
        <v>1</v>
      </c>
      <c r="D3339" s="30">
        <v>1817</v>
      </c>
      <c r="E3339">
        <v>12317</v>
      </c>
      <c r="H3339" s="30" t="s">
        <v>1541</v>
      </c>
      <c r="I3339" s="30">
        <v>148</v>
      </c>
      <c r="J3339" s="30">
        <v>0</v>
      </c>
      <c r="K3339" s="30" t="s">
        <v>867</v>
      </c>
      <c r="L3339" s="43" t="s">
        <v>3618</v>
      </c>
      <c r="P3339" s="41">
        <v>7</v>
      </c>
      <c r="Q3339" s="41">
        <v>5</v>
      </c>
      <c r="R3339" s="41">
        <v>85</v>
      </c>
      <c r="S3339" t="s">
        <v>3321</v>
      </c>
      <c r="AH3339" t="s">
        <v>359</v>
      </c>
    </row>
    <row r="3340" spans="1:34" ht="15.75">
      <c r="A3340" s="29">
        <f t="shared" si="55"/>
        <v>49</v>
      </c>
      <c r="B3340" s="30">
        <v>576</v>
      </c>
      <c r="C3340" s="30">
        <v>1</v>
      </c>
      <c r="D3340" s="30">
        <v>1817</v>
      </c>
      <c r="E3340">
        <v>12318</v>
      </c>
      <c r="H3340" s="30" t="s">
        <v>1540</v>
      </c>
      <c r="I3340" s="30">
        <v>49</v>
      </c>
      <c r="J3340" s="30">
        <v>0</v>
      </c>
      <c r="K3340" s="30" t="s">
        <v>867</v>
      </c>
      <c r="L3340" s="43" t="s">
        <v>3618</v>
      </c>
      <c r="P3340" s="41">
        <v>5</v>
      </c>
      <c r="Q3340" s="41">
        <v>5</v>
      </c>
      <c r="R3340" s="41">
        <v>62</v>
      </c>
      <c r="S3340" t="s">
        <v>3321</v>
      </c>
      <c r="AH3340" t="s">
        <v>359</v>
      </c>
    </row>
    <row r="3341" spans="1:34" ht="15.75">
      <c r="A3341" s="29">
        <f t="shared" si="55"/>
        <v>685</v>
      </c>
      <c r="B3341" s="30">
        <v>576</v>
      </c>
      <c r="C3341" s="30">
        <v>1</v>
      </c>
      <c r="D3341" s="30">
        <v>1817</v>
      </c>
      <c r="E3341">
        <v>12320</v>
      </c>
      <c r="H3341" s="30" t="s">
        <v>1540</v>
      </c>
      <c r="I3341" s="30">
        <v>685</v>
      </c>
      <c r="J3341" s="30">
        <v>0</v>
      </c>
      <c r="K3341" s="30" t="s">
        <v>867</v>
      </c>
      <c r="L3341" s="43" t="s">
        <v>3621</v>
      </c>
      <c r="P3341" s="41">
        <v>1</v>
      </c>
      <c r="Q3341" s="41">
        <v>4</v>
      </c>
      <c r="R3341" s="41">
        <v>36</v>
      </c>
      <c r="S3341" t="s">
        <v>3321</v>
      </c>
      <c r="AH3341" t="s">
        <v>359</v>
      </c>
    </row>
    <row r="3342" spans="1:34" ht="15.75">
      <c r="A3342" s="29">
        <f t="shared" si="55"/>
        <v>27584</v>
      </c>
      <c r="B3342" s="31">
        <v>576</v>
      </c>
      <c r="C3342" s="31">
        <v>1</v>
      </c>
      <c r="D3342" s="31">
        <v>1817</v>
      </c>
      <c r="E3342">
        <v>12321</v>
      </c>
      <c r="F3342" s="9"/>
      <c r="G3342" s="9"/>
      <c r="H3342" s="31" t="s">
        <v>1541</v>
      </c>
      <c r="I3342" s="31">
        <v>27584</v>
      </c>
      <c r="J3342" s="31">
        <v>0</v>
      </c>
      <c r="K3342" s="30" t="s">
        <v>867</v>
      </c>
      <c r="L3342" s="43" t="s">
        <v>224</v>
      </c>
      <c r="M3342" s="43" t="s">
        <v>225</v>
      </c>
      <c r="N3342" s="43" t="s">
        <v>226</v>
      </c>
      <c r="O3342" s="43" t="s">
        <v>227</v>
      </c>
      <c r="P3342" s="43">
        <v>28</v>
      </c>
      <c r="Q3342" s="43">
        <v>4</v>
      </c>
      <c r="R3342" s="43">
        <v>76</v>
      </c>
      <c r="S3342" s="9"/>
      <c r="T3342" s="9" t="s">
        <v>228</v>
      </c>
      <c r="U3342" s="9"/>
      <c r="V3342" s="9" t="s">
        <v>3911</v>
      </c>
      <c r="W3342" s="9"/>
      <c r="X3342" s="9"/>
      <c r="AH3342" t="s">
        <v>359</v>
      </c>
    </row>
    <row r="3343" spans="1:34" ht="15.75">
      <c r="A3343" s="29">
        <f t="shared" si="55"/>
        <v>280</v>
      </c>
      <c r="B3343" s="30">
        <v>576</v>
      </c>
      <c r="C3343" s="30">
        <v>1</v>
      </c>
      <c r="D3343" s="30">
        <v>1817</v>
      </c>
      <c r="E3343">
        <v>12322</v>
      </c>
      <c r="H3343" s="30" t="s">
        <v>1540</v>
      </c>
      <c r="I3343" s="30">
        <v>280</v>
      </c>
      <c r="J3343" s="30">
        <v>0</v>
      </c>
      <c r="K3343" s="30" t="s">
        <v>867</v>
      </c>
      <c r="L3343" s="43" t="s">
        <v>3622</v>
      </c>
      <c r="P3343" s="41">
        <v>10</v>
      </c>
      <c r="Q3343" s="41">
        <v>6</v>
      </c>
      <c r="R3343" s="41">
        <v>62</v>
      </c>
      <c r="S3343" t="s">
        <v>3321</v>
      </c>
      <c r="AH3343" t="s">
        <v>359</v>
      </c>
    </row>
    <row r="3344" spans="1:34" ht="15.75">
      <c r="A3344" s="29">
        <f t="shared" si="55"/>
        <v>4874</v>
      </c>
      <c r="B3344" s="30">
        <v>576</v>
      </c>
      <c r="C3344" s="30">
        <v>1</v>
      </c>
      <c r="D3344" s="30">
        <v>1817</v>
      </c>
      <c r="E3344">
        <v>12323</v>
      </c>
      <c r="H3344" s="30" t="s">
        <v>1540</v>
      </c>
      <c r="I3344" s="30">
        <v>4874</v>
      </c>
      <c r="J3344" s="30">
        <v>0</v>
      </c>
      <c r="K3344" s="30" t="s">
        <v>867</v>
      </c>
      <c r="L3344" s="43" t="s">
        <v>3622</v>
      </c>
      <c r="P3344" s="41">
        <v>16</v>
      </c>
      <c r="Q3344" s="41">
        <v>6</v>
      </c>
      <c r="R3344" s="41">
        <v>40</v>
      </c>
      <c r="S3344" t="s">
        <v>1547</v>
      </c>
      <c r="AH3344" t="s">
        <v>359</v>
      </c>
    </row>
    <row r="3345" spans="1:34" ht="15.75">
      <c r="A3345" s="29">
        <f t="shared" si="55"/>
        <v>2617</v>
      </c>
      <c r="B3345" s="30">
        <v>576</v>
      </c>
      <c r="C3345" s="30">
        <v>1</v>
      </c>
      <c r="D3345" s="30">
        <v>1817</v>
      </c>
      <c r="E3345">
        <v>12324</v>
      </c>
      <c r="H3345" s="30" t="s">
        <v>1540</v>
      </c>
      <c r="I3345" s="30">
        <v>2617</v>
      </c>
      <c r="J3345" s="30">
        <v>0</v>
      </c>
      <c r="K3345" s="30" t="s">
        <v>867</v>
      </c>
      <c r="L3345" s="43" t="s">
        <v>3623</v>
      </c>
      <c r="P3345" s="41">
        <v>1</v>
      </c>
      <c r="Q3345" s="41">
        <v>4</v>
      </c>
      <c r="R3345" s="41">
        <v>75</v>
      </c>
      <c r="S3345" t="s">
        <v>884</v>
      </c>
      <c r="AH3345" t="s">
        <v>359</v>
      </c>
    </row>
    <row r="3346" spans="1:34" ht="15.75">
      <c r="A3346" s="29">
        <f t="shared" si="55"/>
        <v>115</v>
      </c>
      <c r="B3346" s="30">
        <v>576</v>
      </c>
      <c r="C3346" s="30">
        <v>1</v>
      </c>
      <c r="D3346" s="30">
        <v>1817</v>
      </c>
      <c r="E3346">
        <v>12325</v>
      </c>
      <c r="H3346" s="30" t="s">
        <v>1540</v>
      </c>
      <c r="I3346" s="30">
        <v>115</v>
      </c>
      <c r="J3346" s="30">
        <v>0</v>
      </c>
      <c r="K3346" s="30" t="s">
        <v>867</v>
      </c>
      <c r="L3346" s="43" t="s">
        <v>3624</v>
      </c>
      <c r="P3346" s="41">
        <v>31</v>
      </c>
      <c r="Q3346" s="41">
        <v>1</v>
      </c>
      <c r="R3346" s="41">
        <v>77</v>
      </c>
      <c r="S3346" t="s">
        <v>3321</v>
      </c>
      <c r="AH3346" t="s">
        <v>359</v>
      </c>
    </row>
    <row r="3347" spans="1:34" ht="15.75">
      <c r="A3347" s="29">
        <f aca="true" t="shared" si="56" ref="A3347:A3410">I3347+J3347*20*X3347</f>
        <v>90</v>
      </c>
      <c r="B3347" s="30">
        <v>576</v>
      </c>
      <c r="C3347" s="30">
        <v>1</v>
      </c>
      <c r="D3347" s="30">
        <v>1817</v>
      </c>
      <c r="E3347">
        <v>12326</v>
      </c>
      <c r="H3347" s="30" t="s">
        <v>1541</v>
      </c>
      <c r="I3347" s="30">
        <v>90</v>
      </c>
      <c r="J3347" s="30">
        <v>0</v>
      </c>
      <c r="K3347" s="30" t="s">
        <v>867</v>
      </c>
      <c r="L3347" s="43" t="s">
        <v>3624</v>
      </c>
      <c r="P3347" s="41">
        <v>7</v>
      </c>
      <c r="Q3347" s="41">
        <v>4</v>
      </c>
      <c r="R3347" s="41">
        <v>61</v>
      </c>
      <c r="S3347" t="s">
        <v>3321</v>
      </c>
      <c r="AH3347" t="s">
        <v>359</v>
      </c>
    </row>
    <row r="3348" spans="1:34" ht="15.75">
      <c r="A3348" s="29">
        <f t="shared" si="56"/>
        <v>11210</v>
      </c>
      <c r="B3348" s="30">
        <v>576</v>
      </c>
      <c r="C3348" s="30">
        <v>1</v>
      </c>
      <c r="D3348" s="30">
        <v>1817</v>
      </c>
      <c r="E3348">
        <v>12327</v>
      </c>
      <c r="H3348" s="30" t="s">
        <v>1541</v>
      </c>
      <c r="I3348" s="30">
        <f>9710+1500</f>
        <v>11210</v>
      </c>
      <c r="J3348" s="30">
        <v>0</v>
      </c>
      <c r="K3348" s="30" t="s">
        <v>867</v>
      </c>
      <c r="L3348" s="43" t="s">
        <v>3624</v>
      </c>
      <c r="P3348" s="41">
        <v>6</v>
      </c>
      <c r="Q3348" s="41">
        <v>5</v>
      </c>
      <c r="R3348" s="41">
        <v>73</v>
      </c>
      <c r="S3348" t="s">
        <v>3321</v>
      </c>
      <c r="AH3348" t="s">
        <v>359</v>
      </c>
    </row>
    <row r="3349" spans="1:34" ht="15.75">
      <c r="A3349" s="29">
        <f t="shared" si="56"/>
        <v>2883</v>
      </c>
      <c r="B3349" s="30">
        <v>576</v>
      </c>
      <c r="C3349" s="30">
        <v>1</v>
      </c>
      <c r="D3349" s="30">
        <v>1817</v>
      </c>
      <c r="E3349">
        <v>12328</v>
      </c>
      <c r="H3349" s="30" t="s">
        <v>1540</v>
      </c>
      <c r="I3349" s="30">
        <v>2883</v>
      </c>
      <c r="J3349" s="30">
        <v>0</v>
      </c>
      <c r="K3349" s="30" t="s">
        <v>867</v>
      </c>
      <c r="L3349" s="43" t="s">
        <v>3703</v>
      </c>
      <c r="P3349" s="41">
        <v>25</v>
      </c>
      <c r="Q3349" s="41">
        <v>3</v>
      </c>
      <c r="R3349" s="41">
        <v>70</v>
      </c>
      <c r="S3349" t="s">
        <v>1547</v>
      </c>
      <c r="AH3349" t="s">
        <v>359</v>
      </c>
    </row>
    <row r="3350" spans="1:34" ht="15.75">
      <c r="A3350" s="29">
        <f t="shared" si="56"/>
        <v>685</v>
      </c>
      <c r="B3350" s="30">
        <v>576</v>
      </c>
      <c r="C3350" s="30">
        <v>1</v>
      </c>
      <c r="D3350" s="30">
        <v>1817</v>
      </c>
      <c r="E3350">
        <v>12330</v>
      </c>
      <c r="H3350" s="30" t="s">
        <v>1541</v>
      </c>
      <c r="I3350" s="30">
        <v>685</v>
      </c>
      <c r="J3350" s="30">
        <v>0</v>
      </c>
      <c r="K3350" s="30" t="s">
        <v>867</v>
      </c>
      <c r="AH3350" t="s">
        <v>359</v>
      </c>
    </row>
    <row r="3351" spans="1:34" ht="15.75">
      <c r="A3351" s="29">
        <f t="shared" si="56"/>
        <v>15895</v>
      </c>
      <c r="B3351" s="30">
        <v>577</v>
      </c>
      <c r="C3351" s="30">
        <v>1</v>
      </c>
      <c r="D3351" s="30">
        <v>1817</v>
      </c>
      <c r="E3351">
        <v>12356</v>
      </c>
      <c r="H3351" s="30" t="s">
        <v>1541</v>
      </c>
      <c r="I3351" s="30">
        <f>15645+250</f>
        <v>15895</v>
      </c>
      <c r="J3351" s="30">
        <v>0</v>
      </c>
      <c r="K3351" s="30" t="s">
        <v>867</v>
      </c>
      <c r="L3351" s="43" t="s">
        <v>3626</v>
      </c>
      <c r="P3351" s="41">
        <v>3</v>
      </c>
      <c r="Q3351" s="41">
        <v>3</v>
      </c>
      <c r="R3351" s="41">
        <v>43</v>
      </c>
      <c r="S3351" t="s">
        <v>3321</v>
      </c>
      <c r="T3351" s="30"/>
      <c r="V3351" s="30"/>
      <c r="W3351" s="30"/>
      <c r="AA3351" s="33"/>
      <c r="AB3351" s="30"/>
      <c r="AD3351" s="30"/>
      <c r="AH3351" t="s">
        <v>359</v>
      </c>
    </row>
    <row r="3352" spans="1:34" ht="15.75">
      <c r="A3352" s="29">
        <f t="shared" si="56"/>
        <v>3204</v>
      </c>
      <c r="B3352" s="30">
        <v>577</v>
      </c>
      <c r="C3352" s="30">
        <v>1</v>
      </c>
      <c r="D3352" s="30">
        <v>1817</v>
      </c>
      <c r="E3352">
        <v>12357</v>
      </c>
      <c r="H3352" s="30" t="s">
        <v>1541</v>
      </c>
      <c r="I3352" s="30">
        <v>3204</v>
      </c>
      <c r="J3352" s="30">
        <v>0</v>
      </c>
      <c r="K3352" s="30" t="s">
        <v>867</v>
      </c>
      <c r="L3352" s="43" t="s">
        <v>3627</v>
      </c>
      <c r="P3352" s="41">
        <v>14</v>
      </c>
      <c r="Q3352" s="41">
        <v>12</v>
      </c>
      <c r="R3352" s="41">
        <v>87</v>
      </c>
      <c r="S3352" s="30" t="s">
        <v>874</v>
      </c>
      <c r="T3352" s="30"/>
      <c r="V3352" s="30"/>
      <c r="W3352" s="30"/>
      <c r="AA3352" s="33"/>
      <c r="AB3352" s="30"/>
      <c r="AD3352" s="30"/>
      <c r="AH3352" t="s">
        <v>359</v>
      </c>
    </row>
    <row r="3353" spans="1:34" ht="15.75">
      <c r="A3353" s="29">
        <f t="shared" si="56"/>
        <v>32210</v>
      </c>
      <c r="B3353" s="30">
        <v>577</v>
      </c>
      <c r="C3353" s="30">
        <v>1</v>
      </c>
      <c r="D3353" s="30">
        <v>1817</v>
      </c>
      <c r="E3353">
        <v>12358</v>
      </c>
      <c r="H3353" s="30" t="s">
        <v>1541</v>
      </c>
      <c r="I3353" s="30">
        <v>32210</v>
      </c>
      <c r="J3353" s="30">
        <v>0</v>
      </c>
      <c r="K3353" s="30" t="s">
        <v>867</v>
      </c>
      <c r="L3353" s="43" t="s">
        <v>233</v>
      </c>
      <c r="M3353" s="41" t="s">
        <v>1217</v>
      </c>
      <c r="O3353" s="41" t="s">
        <v>234</v>
      </c>
      <c r="P3353" s="41">
        <v>10</v>
      </c>
      <c r="Q3353" s="41">
        <v>12</v>
      </c>
      <c r="R3353" s="41">
        <v>80</v>
      </c>
      <c r="S3353" s="30" t="s">
        <v>1719</v>
      </c>
      <c r="T3353" s="30" t="s">
        <v>5908</v>
      </c>
      <c r="V3353" s="30" t="s">
        <v>235</v>
      </c>
      <c r="W3353" s="30"/>
      <c r="AA3353" s="33"/>
      <c r="AB3353" s="30"/>
      <c r="AD3353" s="30"/>
      <c r="AH3353" t="s">
        <v>359</v>
      </c>
    </row>
    <row r="3354" spans="1:34" ht="15.75">
      <c r="A3354" s="29">
        <f t="shared" si="56"/>
        <v>1322</v>
      </c>
      <c r="B3354" s="30">
        <v>577</v>
      </c>
      <c r="C3354" s="30">
        <v>1</v>
      </c>
      <c r="D3354" s="30">
        <v>1817</v>
      </c>
      <c r="E3354">
        <v>12359</v>
      </c>
      <c r="H3354" s="30" t="s">
        <v>1541</v>
      </c>
      <c r="I3354" s="30">
        <v>1322</v>
      </c>
      <c r="J3354" s="30">
        <v>0</v>
      </c>
      <c r="K3354" s="30" t="s">
        <v>867</v>
      </c>
      <c r="L3354" s="43" t="s">
        <v>3631</v>
      </c>
      <c r="P3354" s="41">
        <v>17</v>
      </c>
      <c r="Q3354" s="41">
        <v>10</v>
      </c>
      <c r="R3354" s="41" t="s">
        <v>1547</v>
      </c>
      <c r="S3354" s="30" t="s">
        <v>874</v>
      </c>
      <c r="T3354" s="30"/>
      <c r="V3354" s="30"/>
      <c r="W3354" s="30"/>
      <c r="AA3354" s="33"/>
      <c r="AB3354" s="30"/>
      <c r="AD3354" s="30"/>
      <c r="AH3354" t="s">
        <v>359</v>
      </c>
    </row>
    <row r="3355" spans="1:34" ht="15.75">
      <c r="A3355" s="29">
        <f t="shared" si="56"/>
        <v>16099</v>
      </c>
      <c r="B3355" s="30">
        <v>577</v>
      </c>
      <c r="C3355" s="30">
        <v>1</v>
      </c>
      <c r="D3355" s="30">
        <v>1817</v>
      </c>
      <c r="E3355">
        <v>12360</v>
      </c>
      <c r="H3355" s="30" t="s">
        <v>1540</v>
      </c>
      <c r="I3355" s="30">
        <v>1099</v>
      </c>
      <c r="J3355" s="30">
        <f>1000+500</f>
        <v>1500</v>
      </c>
      <c r="K3355" s="30" t="s">
        <v>867</v>
      </c>
      <c r="L3355" s="43" t="s">
        <v>236</v>
      </c>
      <c r="M3355" s="41" t="s">
        <v>237</v>
      </c>
      <c r="N3355" s="41" t="s">
        <v>238</v>
      </c>
      <c r="O3355" s="41" t="s">
        <v>239</v>
      </c>
      <c r="P3355" s="41">
        <v>13</v>
      </c>
      <c r="Q3355" s="41">
        <v>7</v>
      </c>
      <c r="R3355" s="41">
        <v>64</v>
      </c>
      <c r="S3355" s="30" t="s">
        <v>1707</v>
      </c>
      <c r="T3355" s="30" t="s">
        <v>240</v>
      </c>
      <c r="V3355" s="30" t="s">
        <v>1878</v>
      </c>
      <c r="W3355" s="30"/>
      <c r="X3355">
        <v>0.5</v>
      </c>
      <c r="Y3355" t="s">
        <v>241</v>
      </c>
      <c r="AA3355" s="33"/>
      <c r="AB3355" s="30"/>
      <c r="AD3355" s="30"/>
      <c r="AH3355" t="s">
        <v>359</v>
      </c>
    </row>
    <row r="3356" spans="1:34" ht="15.75">
      <c r="A3356" s="29">
        <f t="shared" si="56"/>
        <v>100</v>
      </c>
      <c r="B3356" s="30">
        <v>577</v>
      </c>
      <c r="C3356" s="30">
        <v>1</v>
      </c>
      <c r="D3356" s="30">
        <v>1817</v>
      </c>
      <c r="E3356">
        <v>12361</v>
      </c>
      <c r="H3356" s="30" t="s">
        <v>1541</v>
      </c>
      <c r="I3356" s="30">
        <v>100</v>
      </c>
      <c r="J3356" s="30">
        <v>0</v>
      </c>
      <c r="K3356" s="30" t="s">
        <v>867</v>
      </c>
      <c r="L3356" s="43" t="s">
        <v>378</v>
      </c>
      <c r="P3356" s="41">
        <v>19</v>
      </c>
      <c r="Q3356" s="41">
        <v>2</v>
      </c>
      <c r="R3356" s="41">
        <v>27</v>
      </c>
      <c r="S3356" t="s">
        <v>3321</v>
      </c>
      <c r="T3356" s="30"/>
      <c r="V3356" s="30"/>
      <c r="W3356" s="30"/>
      <c r="AA3356" s="33"/>
      <c r="AB3356" s="30"/>
      <c r="AD3356" s="30"/>
      <c r="AH3356" t="s">
        <v>359</v>
      </c>
    </row>
    <row r="3357" spans="1:34" ht="15.75">
      <c r="A3357" s="29">
        <f t="shared" si="56"/>
        <v>1313</v>
      </c>
      <c r="B3357" s="30">
        <v>577</v>
      </c>
      <c r="C3357" s="30">
        <v>1</v>
      </c>
      <c r="D3357" s="30">
        <v>1817</v>
      </c>
      <c r="E3357">
        <v>12362</v>
      </c>
      <c r="H3357" s="30" t="s">
        <v>1540</v>
      </c>
      <c r="I3357" s="30">
        <v>1313</v>
      </c>
      <c r="J3357" s="30">
        <v>0</v>
      </c>
      <c r="K3357" s="30" t="s">
        <v>867</v>
      </c>
      <c r="L3357" s="43" t="s">
        <v>378</v>
      </c>
      <c r="P3357" s="41">
        <v>2</v>
      </c>
      <c r="Q3357" s="41">
        <v>10</v>
      </c>
      <c r="R3357" s="41" t="s">
        <v>1547</v>
      </c>
      <c r="S3357" t="s">
        <v>3321</v>
      </c>
      <c r="T3357" s="30"/>
      <c r="V3357" s="30"/>
      <c r="W3357" s="30"/>
      <c r="AA3357" s="33"/>
      <c r="AB3357" s="30"/>
      <c r="AD3357" s="30"/>
      <c r="AH3357" t="s">
        <v>359</v>
      </c>
    </row>
    <row r="3358" spans="1:34" ht="15.75">
      <c r="A3358" s="29">
        <f t="shared" si="56"/>
        <v>65</v>
      </c>
      <c r="B3358" s="30">
        <v>577</v>
      </c>
      <c r="C3358" s="30">
        <v>1</v>
      </c>
      <c r="D3358" s="30">
        <v>1817</v>
      </c>
      <c r="E3358">
        <v>12363</v>
      </c>
      <c r="H3358" s="30" t="s">
        <v>1541</v>
      </c>
      <c r="I3358" s="30">
        <v>65</v>
      </c>
      <c r="J3358" s="30">
        <v>0</v>
      </c>
      <c r="K3358" s="30" t="s">
        <v>867</v>
      </c>
      <c r="L3358" s="43" t="s">
        <v>378</v>
      </c>
      <c r="P3358" s="41">
        <v>22</v>
      </c>
      <c r="Q3358" s="41">
        <v>4</v>
      </c>
      <c r="R3358" s="41">
        <v>25</v>
      </c>
      <c r="S3358" t="s">
        <v>3321</v>
      </c>
      <c r="AH3358" t="s">
        <v>359</v>
      </c>
    </row>
    <row r="3359" spans="1:34" ht="15.75">
      <c r="A3359" s="29">
        <f t="shared" si="56"/>
        <v>3168</v>
      </c>
      <c r="B3359" s="30">
        <v>577</v>
      </c>
      <c r="C3359" s="30">
        <v>1</v>
      </c>
      <c r="D3359" s="30">
        <v>1817</v>
      </c>
      <c r="E3359">
        <v>12364</v>
      </c>
      <c r="H3359" s="30" t="s">
        <v>1540</v>
      </c>
      <c r="I3359" s="30">
        <v>3168</v>
      </c>
      <c r="J3359" s="30">
        <v>0</v>
      </c>
      <c r="K3359" s="30" t="s">
        <v>867</v>
      </c>
      <c r="L3359" s="43" t="s">
        <v>378</v>
      </c>
      <c r="P3359" s="41">
        <v>25</v>
      </c>
      <c r="Q3359" s="41">
        <v>8</v>
      </c>
      <c r="R3359" s="41">
        <v>71</v>
      </c>
      <c r="S3359" t="s">
        <v>3321</v>
      </c>
      <c r="AH3359" t="s">
        <v>359</v>
      </c>
    </row>
    <row r="3360" spans="1:34" ht="15.75">
      <c r="A3360" s="29">
        <f t="shared" si="56"/>
        <v>67000</v>
      </c>
      <c r="B3360" s="30">
        <v>577</v>
      </c>
      <c r="C3360" s="30">
        <v>1</v>
      </c>
      <c r="D3360" s="30">
        <v>1817</v>
      </c>
      <c r="E3360">
        <v>12365</v>
      </c>
      <c r="H3360" s="30" t="s">
        <v>1540</v>
      </c>
      <c r="I3360" s="30">
        <v>0</v>
      </c>
      <c r="J3360">
        <f>5500+1200</f>
        <v>6700</v>
      </c>
      <c r="K3360" s="30" t="s">
        <v>867</v>
      </c>
      <c r="L3360" s="43" t="s">
        <v>2707</v>
      </c>
      <c r="M3360" s="41" t="s">
        <v>5316</v>
      </c>
      <c r="N3360" s="41" t="s">
        <v>1545</v>
      </c>
      <c r="O3360" s="41" t="s">
        <v>242</v>
      </c>
      <c r="P3360" s="41" t="s">
        <v>1547</v>
      </c>
      <c r="Q3360" s="41" t="s">
        <v>1547</v>
      </c>
      <c r="S3360" t="s">
        <v>1716</v>
      </c>
      <c r="T3360" t="s">
        <v>1219</v>
      </c>
      <c r="V3360" t="s">
        <v>1218</v>
      </c>
      <c r="X3360">
        <v>0.5</v>
      </c>
      <c r="Y3360" t="s">
        <v>243</v>
      </c>
      <c r="AH3360" t="s">
        <v>359</v>
      </c>
    </row>
    <row r="3361" spans="1:34" ht="15.75">
      <c r="A3361" s="29">
        <f t="shared" si="56"/>
        <v>656</v>
      </c>
      <c r="B3361" s="30">
        <v>577</v>
      </c>
      <c r="C3361" s="30">
        <v>1</v>
      </c>
      <c r="D3361" s="30">
        <v>1817</v>
      </c>
      <c r="E3361">
        <v>12367</v>
      </c>
      <c r="H3361" s="30" t="s">
        <v>1540</v>
      </c>
      <c r="I3361" s="30">
        <v>656</v>
      </c>
      <c r="J3361" s="30">
        <v>0</v>
      </c>
      <c r="K3361" s="30" t="s">
        <v>867</v>
      </c>
      <c r="L3361" s="43" t="s">
        <v>3699</v>
      </c>
      <c r="P3361" s="41">
        <v>23</v>
      </c>
      <c r="Q3361" s="41">
        <v>4</v>
      </c>
      <c r="R3361" s="41">
        <v>76</v>
      </c>
      <c r="S3361" t="s">
        <v>3321</v>
      </c>
      <c r="AH3361" t="s">
        <v>359</v>
      </c>
    </row>
    <row r="3362" spans="1:34" ht="15.75">
      <c r="A3362" s="29">
        <f t="shared" si="56"/>
        <v>10104</v>
      </c>
      <c r="B3362" s="30">
        <v>577</v>
      </c>
      <c r="C3362" s="30">
        <v>1</v>
      </c>
      <c r="D3362" s="30">
        <v>1817</v>
      </c>
      <c r="E3362">
        <v>12368</v>
      </c>
      <c r="H3362" s="30" t="s">
        <v>1540</v>
      </c>
      <c r="I3362" s="30">
        <v>10104</v>
      </c>
      <c r="J3362" s="30">
        <v>0</v>
      </c>
      <c r="K3362" s="30" t="s">
        <v>867</v>
      </c>
      <c r="L3362" s="43" t="s">
        <v>5915</v>
      </c>
      <c r="P3362" s="41">
        <v>5</v>
      </c>
      <c r="Q3362" s="41">
        <v>1</v>
      </c>
      <c r="R3362" s="41">
        <v>34</v>
      </c>
      <c r="S3362" t="s">
        <v>3321</v>
      </c>
      <c r="AH3362" t="s">
        <v>359</v>
      </c>
    </row>
    <row r="3363" spans="1:34" ht="15.75">
      <c r="A3363" s="29">
        <f t="shared" si="56"/>
        <v>102</v>
      </c>
      <c r="B3363" s="30">
        <v>577</v>
      </c>
      <c r="C3363" s="30">
        <v>1</v>
      </c>
      <c r="D3363" s="30">
        <v>1817</v>
      </c>
      <c r="E3363">
        <v>12369</v>
      </c>
      <c r="H3363" s="30" t="s">
        <v>1541</v>
      </c>
      <c r="I3363" s="30">
        <v>102</v>
      </c>
      <c r="J3363" s="30">
        <v>0</v>
      </c>
      <c r="K3363" s="30" t="s">
        <v>867</v>
      </c>
      <c r="L3363" s="43" t="s">
        <v>2082</v>
      </c>
      <c r="P3363" s="41">
        <v>12</v>
      </c>
      <c r="Q3363" s="41">
        <v>3</v>
      </c>
      <c r="R3363" s="41">
        <v>81</v>
      </c>
      <c r="S3363" t="s">
        <v>874</v>
      </c>
      <c r="AH3363" t="s">
        <v>359</v>
      </c>
    </row>
    <row r="3364" spans="1:34" ht="15.75">
      <c r="A3364" s="29">
        <f t="shared" si="56"/>
        <v>13</v>
      </c>
      <c r="B3364" s="30">
        <v>577</v>
      </c>
      <c r="C3364" s="30">
        <v>1</v>
      </c>
      <c r="D3364" s="30">
        <v>1817</v>
      </c>
      <c r="E3364">
        <v>12370</v>
      </c>
      <c r="H3364" s="30" t="s">
        <v>1541</v>
      </c>
      <c r="I3364" s="30">
        <v>13</v>
      </c>
      <c r="J3364" s="30">
        <v>0</v>
      </c>
      <c r="K3364" s="30" t="s">
        <v>867</v>
      </c>
      <c r="L3364" s="43" t="s">
        <v>2082</v>
      </c>
      <c r="O3364" s="46"/>
      <c r="P3364" s="41">
        <v>14</v>
      </c>
      <c r="Q3364" s="41">
        <v>5</v>
      </c>
      <c r="R3364" s="41">
        <v>50</v>
      </c>
      <c r="S3364" t="s">
        <v>3321</v>
      </c>
      <c r="AH3364" t="s">
        <v>359</v>
      </c>
    </row>
    <row r="3365" spans="1:34" ht="15.75">
      <c r="A3365" s="29">
        <f t="shared" si="56"/>
        <v>200</v>
      </c>
      <c r="B3365" s="30">
        <v>578</v>
      </c>
      <c r="C3365" s="30">
        <v>1</v>
      </c>
      <c r="D3365" s="30">
        <v>1817</v>
      </c>
      <c r="E3365">
        <v>12388</v>
      </c>
      <c r="H3365" s="30" t="s">
        <v>1540</v>
      </c>
      <c r="I3365" s="30">
        <v>200</v>
      </c>
      <c r="J3365" s="30">
        <v>0</v>
      </c>
      <c r="K3365" s="30" t="s">
        <v>868</v>
      </c>
      <c r="L3365" s="43" t="s">
        <v>2082</v>
      </c>
      <c r="P3365" s="41">
        <v>29</v>
      </c>
      <c r="Q3365" s="41">
        <v>6</v>
      </c>
      <c r="R3365" s="41">
        <v>66</v>
      </c>
      <c r="S3365" t="s">
        <v>3321</v>
      </c>
      <c r="T3365" s="30"/>
      <c r="V3365" s="30"/>
      <c r="W3365" s="30"/>
      <c r="AA3365" s="33"/>
      <c r="AB3365" s="30"/>
      <c r="AD3365" s="30"/>
      <c r="AH3365" t="s">
        <v>359</v>
      </c>
    </row>
    <row r="3366" spans="1:34" ht="15.75">
      <c r="A3366" s="29">
        <f t="shared" si="56"/>
        <v>73</v>
      </c>
      <c r="B3366" s="30">
        <v>578</v>
      </c>
      <c r="C3366" s="30">
        <v>1</v>
      </c>
      <c r="D3366" s="30">
        <v>1817</v>
      </c>
      <c r="E3366">
        <v>12389</v>
      </c>
      <c r="H3366" s="30" t="s">
        <v>1541</v>
      </c>
      <c r="I3366" s="30">
        <v>73</v>
      </c>
      <c r="J3366" s="30">
        <v>0</v>
      </c>
      <c r="K3366" s="30" t="s">
        <v>868</v>
      </c>
      <c r="L3366" s="43" t="s">
        <v>3702</v>
      </c>
      <c r="P3366" s="41">
        <v>20</v>
      </c>
      <c r="Q3366" s="41">
        <v>6</v>
      </c>
      <c r="R3366" s="41">
        <v>59</v>
      </c>
      <c r="S3366" t="s">
        <v>3321</v>
      </c>
      <c r="T3366" s="30"/>
      <c r="V3366" s="30"/>
      <c r="W3366" s="30"/>
      <c r="Y3366" s="30"/>
      <c r="AA3366" s="33"/>
      <c r="AB3366" s="30"/>
      <c r="AD3366" s="30"/>
      <c r="AH3366" t="s">
        <v>359</v>
      </c>
    </row>
    <row r="3367" spans="1:34" ht="15.75">
      <c r="A3367" s="29">
        <f t="shared" si="56"/>
        <v>18761</v>
      </c>
      <c r="B3367" s="30">
        <v>578</v>
      </c>
      <c r="C3367" s="30">
        <v>1</v>
      </c>
      <c r="D3367" s="30">
        <v>1817</v>
      </c>
      <c r="E3367">
        <v>12390</v>
      </c>
      <c r="H3367" t="s">
        <v>1541</v>
      </c>
      <c r="I3367" s="30">
        <v>4761</v>
      </c>
      <c r="J3367" s="30">
        <v>1400</v>
      </c>
      <c r="K3367" s="30" t="s">
        <v>868</v>
      </c>
      <c r="L3367" s="43" t="s">
        <v>5918</v>
      </c>
      <c r="P3367" s="41">
        <v>5</v>
      </c>
      <c r="Q3367" s="41">
        <v>9</v>
      </c>
      <c r="R3367" s="41">
        <v>62</v>
      </c>
      <c r="S3367" s="30" t="s">
        <v>1547</v>
      </c>
      <c r="T3367" s="30"/>
      <c r="V3367" s="30"/>
      <c r="W3367" s="30"/>
      <c r="X3367">
        <v>0.5</v>
      </c>
      <c r="Y3367" t="s">
        <v>245</v>
      </c>
      <c r="AA3367" s="33"/>
      <c r="AB3367" s="30"/>
      <c r="AD3367" s="30"/>
      <c r="AH3367" t="s">
        <v>359</v>
      </c>
    </row>
    <row r="3368" spans="1:34" ht="15.75">
      <c r="A3368" s="29">
        <f t="shared" si="56"/>
        <v>16701</v>
      </c>
      <c r="B3368" s="31">
        <v>578</v>
      </c>
      <c r="C3368" s="31">
        <v>1</v>
      </c>
      <c r="D3368" s="31">
        <v>1817</v>
      </c>
      <c r="E3368">
        <v>12391</v>
      </c>
      <c r="F3368" s="9"/>
      <c r="G3368" s="9"/>
      <c r="H3368" s="31" t="s">
        <v>1541</v>
      </c>
      <c r="I3368" s="31">
        <v>16701</v>
      </c>
      <c r="J3368" s="31">
        <v>0</v>
      </c>
      <c r="K3368" s="30" t="s">
        <v>868</v>
      </c>
      <c r="L3368" s="43" t="s">
        <v>5919</v>
      </c>
      <c r="M3368" s="41">
        <v>2</v>
      </c>
      <c r="P3368" s="41">
        <v>10</v>
      </c>
      <c r="Q3368" s="41">
        <v>2</v>
      </c>
      <c r="R3368" s="41">
        <v>27</v>
      </c>
      <c r="S3368" s="30" t="s">
        <v>1547</v>
      </c>
      <c r="T3368" s="30"/>
      <c r="V3368" s="30"/>
      <c r="W3368" s="30"/>
      <c r="AA3368" s="33"/>
      <c r="AB3368" s="30"/>
      <c r="AD3368" s="30"/>
      <c r="AH3368" t="s">
        <v>359</v>
      </c>
    </row>
    <row r="3369" spans="1:34" ht="15.75">
      <c r="A3369" s="29">
        <f t="shared" si="56"/>
        <v>6567</v>
      </c>
      <c r="B3369" s="30">
        <v>578</v>
      </c>
      <c r="C3369" s="30">
        <v>1</v>
      </c>
      <c r="D3369" s="30">
        <v>1817</v>
      </c>
      <c r="E3369">
        <v>12393</v>
      </c>
      <c r="H3369" s="30" t="s">
        <v>1541</v>
      </c>
      <c r="I3369" s="30">
        <v>6567</v>
      </c>
      <c r="J3369" s="30">
        <v>0</v>
      </c>
      <c r="K3369" s="30" t="s">
        <v>868</v>
      </c>
      <c r="L3369" s="43" t="s">
        <v>5926</v>
      </c>
      <c r="P3369" s="41">
        <v>23</v>
      </c>
      <c r="Q3369" s="41">
        <v>5</v>
      </c>
      <c r="R3369" s="41">
        <v>12</v>
      </c>
      <c r="S3369" s="30" t="s">
        <v>884</v>
      </c>
      <c r="T3369" s="30"/>
      <c r="V3369" s="30"/>
      <c r="W3369" s="30"/>
      <c r="AA3369" s="33"/>
      <c r="AB3369" s="30"/>
      <c r="AD3369" s="30"/>
      <c r="AH3369" t="s">
        <v>359</v>
      </c>
    </row>
    <row r="3370" spans="1:34" ht="15.75">
      <c r="A3370" s="29">
        <f t="shared" si="56"/>
        <v>1573</v>
      </c>
      <c r="B3370" s="30">
        <v>579</v>
      </c>
      <c r="C3370" s="30">
        <v>1</v>
      </c>
      <c r="D3370" s="30">
        <v>1817</v>
      </c>
      <c r="E3370">
        <v>12408</v>
      </c>
      <c r="H3370" s="30" t="s">
        <v>850</v>
      </c>
      <c r="I3370" s="30">
        <v>1573</v>
      </c>
      <c r="J3370" s="30">
        <v>0</v>
      </c>
      <c r="K3370" s="30" t="s">
        <v>870</v>
      </c>
      <c r="L3370" s="43" t="s">
        <v>5928</v>
      </c>
      <c r="P3370" s="41">
        <v>13</v>
      </c>
      <c r="Q3370" s="41">
        <v>10</v>
      </c>
      <c r="R3370" s="41" t="s">
        <v>1547</v>
      </c>
      <c r="S3370" s="34" t="s">
        <v>874</v>
      </c>
      <c r="T3370" s="30"/>
      <c r="V3370" s="30"/>
      <c r="W3370" s="30"/>
      <c r="AA3370" s="33"/>
      <c r="AB3370" s="33"/>
      <c r="AD3370" s="30"/>
      <c r="AH3370" t="s">
        <v>359</v>
      </c>
    </row>
    <row r="3371" spans="1:34" ht="15.75">
      <c r="A3371" s="29">
        <f t="shared" si="56"/>
        <v>170</v>
      </c>
      <c r="B3371" s="30">
        <v>579</v>
      </c>
      <c r="C3371" s="30">
        <v>1</v>
      </c>
      <c r="D3371" s="30">
        <v>1817</v>
      </c>
      <c r="E3371">
        <v>12409</v>
      </c>
      <c r="H3371" s="30" t="s">
        <v>1549</v>
      </c>
      <c r="I3371" s="30">
        <v>170</v>
      </c>
      <c r="J3371" s="30">
        <v>0</v>
      </c>
      <c r="K3371" s="30" t="s">
        <v>870</v>
      </c>
      <c r="L3371" s="43" t="s">
        <v>2298</v>
      </c>
      <c r="P3371" s="41">
        <v>11</v>
      </c>
      <c r="Q3371" s="41">
        <v>1</v>
      </c>
      <c r="R3371" s="41">
        <v>43</v>
      </c>
      <c r="S3371" t="s">
        <v>3321</v>
      </c>
      <c r="T3371" s="30"/>
      <c r="V3371" s="30"/>
      <c r="W3371" s="30"/>
      <c r="AA3371" s="33"/>
      <c r="AB3371" s="33"/>
      <c r="AD3371" s="30"/>
      <c r="AH3371" t="s">
        <v>359</v>
      </c>
    </row>
    <row r="3372" spans="1:34" ht="15.75">
      <c r="A3372" s="29">
        <f t="shared" si="56"/>
        <v>65</v>
      </c>
      <c r="B3372" s="30">
        <v>579</v>
      </c>
      <c r="C3372" s="30">
        <v>1</v>
      </c>
      <c r="D3372" s="30">
        <v>1817</v>
      </c>
      <c r="E3372">
        <v>12410</v>
      </c>
      <c r="H3372" s="30" t="s">
        <v>850</v>
      </c>
      <c r="I3372" s="30">
        <v>65</v>
      </c>
      <c r="J3372" s="30">
        <v>0</v>
      </c>
      <c r="K3372" s="30" t="s">
        <v>870</v>
      </c>
      <c r="L3372" s="43" t="s">
        <v>1377</v>
      </c>
      <c r="P3372" s="41">
        <v>7</v>
      </c>
      <c r="Q3372" s="41">
        <v>2</v>
      </c>
      <c r="R3372" s="41">
        <v>53</v>
      </c>
      <c r="S3372" s="34"/>
      <c r="T3372" s="30"/>
      <c r="V3372" s="30"/>
      <c r="W3372" s="30"/>
      <c r="AA3372" s="33"/>
      <c r="AB3372" s="33"/>
      <c r="AD3372" s="30"/>
      <c r="AH3372" t="s">
        <v>359</v>
      </c>
    </row>
    <row r="3373" spans="1:34" ht="15.75">
      <c r="A3373" s="29">
        <f t="shared" si="56"/>
        <v>36200</v>
      </c>
      <c r="B3373" s="30">
        <v>579</v>
      </c>
      <c r="C3373" s="30">
        <v>1</v>
      </c>
      <c r="D3373" s="30">
        <v>1817</v>
      </c>
      <c r="E3373">
        <v>12411</v>
      </c>
      <c r="H3373" s="30" t="s">
        <v>850</v>
      </c>
      <c r="I3373" s="30">
        <v>36200</v>
      </c>
      <c r="J3373" s="30">
        <v>0</v>
      </c>
      <c r="K3373" s="30" t="s">
        <v>870</v>
      </c>
      <c r="L3373" s="43" t="s">
        <v>380</v>
      </c>
      <c r="M3373" s="41" t="s">
        <v>1217</v>
      </c>
      <c r="O3373" s="41" t="s">
        <v>248</v>
      </c>
      <c r="P3373" s="41">
        <v>20</v>
      </c>
      <c r="Q3373" s="41">
        <v>10</v>
      </c>
      <c r="R3373" s="41">
        <v>56</v>
      </c>
      <c r="S3373" s="34" t="s">
        <v>847</v>
      </c>
      <c r="T3373" s="30" t="s">
        <v>249</v>
      </c>
      <c r="V3373" s="30" t="s">
        <v>250</v>
      </c>
      <c r="W3373" s="30"/>
      <c r="AA3373" s="33"/>
      <c r="AB3373" s="33"/>
      <c r="AD3373" s="30"/>
      <c r="AH3373" t="s">
        <v>359</v>
      </c>
    </row>
    <row r="3374" spans="1:34" ht="15.75">
      <c r="A3374" s="29">
        <f t="shared" si="56"/>
        <v>26454</v>
      </c>
      <c r="B3374" s="31">
        <v>580</v>
      </c>
      <c r="C3374" s="31">
        <v>1</v>
      </c>
      <c r="D3374" s="31">
        <v>1817</v>
      </c>
      <c r="E3374">
        <v>12427</v>
      </c>
      <c r="F3374" s="9"/>
      <c r="G3374" s="9"/>
      <c r="H3374" s="31" t="s">
        <v>850</v>
      </c>
      <c r="I3374" s="31">
        <v>26454</v>
      </c>
      <c r="J3374" s="31">
        <v>0</v>
      </c>
      <c r="K3374" s="30" t="s">
        <v>870</v>
      </c>
      <c r="L3374" s="43" t="s">
        <v>251</v>
      </c>
      <c r="M3374" s="43" t="s">
        <v>4766</v>
      </c>
      <c r="N3374" s="41" t="s">
        <v>1545</v>
      </c>
      <c r="O3374" s="41" t="s">
        <v>252</v>
      </c>
      <c r="P3374" s="41">
        <v>11</v>
      </c>
      <c r="Q3374" s="41">
        <v>6</v>
      </c>
      <c r="R3374" s="41">
        <v>73</v>
      </c>
      <c r="S3374" s="38" t="s">
        <v>253</v>
      </c>
      <c r="T3374" s="38" t="s">
        <v>254</v>
      </c>
      <c r="U3374" s="38"/>
      <c r="V3374" s="38" t="s">
        <v>255</v>
      </c>
      <c r="W3374" s="38"/>
      <c r="X3374" s="38"/>
      <c r="Y3374" s="38"/>
      <c r="Z3374" s="38"/>
      <c r="AA3374" s="30"/>
      <c r="AB3374" s="30"/>
      <c r="AD3374" s="30"/>
      <c r="AH3374" t="s">
        <v>359</v>
      </c>
    </row>
    <row r="3375" spans="1:34" ht="15.75">
      <c r="A3375" s="29">
        <f t="shared" si="56"/>
        <v>24497</v>
      </c>
      <c r="B3375" s="31">
        <v>580</v>
      </c>
      <c r="C3375" s="31">
        <v>1</v>
      </c>
      <c r="D3375" s="31">
        <v>1817</v>
      </c>
      <c r="E3375">
        <v>12428</v>
      </c>
      <c r="F3375" s="9"/>
      <c r="G3375" s="9"/>
      <c r="H3375" s="31" t="s">
        <v>850</v>
      </c>
      <c r="I3375" s="31">
        <v>24497</v>
      </c>
      <c r="J3375" s="31">
        <v>0</v>
      </c>
      <c r="K3375" s="30" t="s">
        <v>870</v>
      </c>
      <c r="L3375" s="43" t="s">
        <v>256</v>
      </c>
      <c r="M3375" s="43" t="s">
        <v>257</v>
      </c>
      <c r="N3375" s="43"/>
      <c r="O3375" s="43" t="s">
        <v>258</v>
      </c>
      <c r="P3375" s="43">
        <v>22</v>
      </c>
      <c r="Q3375" s="43">
        <v>11</v>
      </c>
      <c r="R3375" s="43">
        <v>57</v>
      </c>
      <c r="S3375" s="38" t="s">
        <v>259</v>
      </c>
      <c r="T3375" s="38" t="s">
        <v>260</v>
      </c>
      <c r="U3375" s="38"/>
      <c r="V3375" s="38" t="s">
        <v>2362</v>
      </c>
      <c r="W3375" s="38"/>
      <c r="X3375" s="38"/>
      <c r="AA3375" s="30"/>
      <c r="AB3375" s="30"/>
      <c r="AD3375" s="30"/>
      <c r="AH3375" t="s">
        <v>359</v>
      </c>
    </row>
    <row r="3376" spans="1:34" ht="15.75">
      <c r="A3376" s="29">
        <f t="shared" si="56"/>
        <v>40</v>
      </c>
      <c r="B3376" s="30">
        <v>580</v>
      </c>
      <c r="C3376" s="30">
        <v>1</v>
      </c>
      <c r="D3376" s="30">
        <v>1817</v>
      </c>
      <c r="E3376">
        <v>12429</v>
      </c>
      <c r="H3376" s="30" t="s">
        <v>850</v>
      </c>
      <c r="I3376" s="30">
        <v>40</v>
      </c>
      <c r="J3376" s="30">
        <v>0</v>
      </c>
      <c r="K3376" s="30" t="s">
        <v>870</v>
      </c>
      <c r="L3376" s="43" t="s">
        <v>2302</v>
      </c>
      <c r="P3376" s="41">
        <v>24</v>
      </c>
      <c r="Q3376" s="41">
        <v>7</v>
      </c>
      <c r="R3376" s="41">
        <v>54</v>
      </c>
      <c r="S3376" t="s">
        <v>3321</v>
      </c>
      <c r="T3376" s="30"/>
      <c r="V3376" s="33"/>
      <c r="W3376" s="33"/>
      <c r="AA3376" s="33"/>
      <c r="AB3376" s="33"/>
      <c r="AD3376" s="30"/>
      <c r="AH3376" t="s">
        <v>359</v>
      </c>
    </row>
    <row r="3377" spans="1:34" ht="15.75">
      <c r="A3377" s="29">
        <f t="shared" si="56"/>
        <v>14570</v>
      </c>
      <c r="B3377" s="30">
        <v>580</v>
      </c>
      <c r="C3377" s="30">
        <v>1</v>
      </c>
      <c r="D3377" s="30">
        <v>1817</v>
      </c>
      <c r="E3377">
        <v>12430</v>
      </c>
      <c r="H3377" s="30" t="s">
        <v>1549</v>
      </c>
      <c r="I3377" s="30">
        <v>570</v>
      </c>
      <c r="J3377" s="30">
        <v>700</v>
      </c>
      <c r="K3377" s="30" t="s">
        <v>870</v>
      </c>
      <c r="L3377" s="43" t="s">
        <v>2789</v>
      </c>
      <c r="M3377" s="41" t="s">
        <v>261</v>
      </c>
      <c r="O3377" s="41" t="s">
        <v>262</v>
      </c>
      <c r="P3377" s="41">
        <v>24</v>
      </c>
      <c r="Q3377" s="41">
        <v>4</v>
      </c>
      <c r="R3377" s="41">
        <v>60</v>
      </c>
      <c r="S3377" s="38" t="s">
        <v>1715</v>
      </c>
      <c r="T3377" s="38" t="s">
        <v>1971</v>
      </c>
      <c r="U3377" s="38"/>
      <c r="V3377" s="38" t="s">
        <v>5817</v>
      </c>
      <c r="W3377" s="38"/>
      <c r="X3377">
        <v>1</v>
      </c>
      <c r="Y3377" t="s">
        <v>263</v>
      </c>
      <c r="AA3377" s="30"/>
      <c r="AB3377" s="30"/>
      <c r="AD3377" s="30"/>
      <c r="AH3377" t="s">
        <v>359</v>
      </c>
    </row>
    <row r="3378" spans="1:34" ht="15.75">
      <c r="A3378" s="29">
        <f t="shared" si="56"/>
        <v>1776</v>
      </c>
      <c r="B3378" s="30">
        <v>580</v>
      </c>
      <c r="C3378" s="30">
        <v>1</v>
      </c>
      <c r="D3378" s="30">
        <v>1817</v>
      </c>
      <c r="E3378">
        <v>12431</v>
      </c>
      <c r="H3378" s="30" t="s">
        <v>850</v>
      </c>
      <c r="I3378" s="30">
        <v>1776</v>
      </c>
      <c r="J3378" s="30">
        <v>0</v>
      </c>
      <c r="K3378" s="30" t="s">
        <v>870</v>
      </c>
      <c r="L3378" s="43" t="s">
        <v>2313</v>
      </c>
      <c r="P3378" s="41">
        <v>30</v>
      </c>
      <c r="Q3378" s="41">
        <v>4</v>
      </c>
      <c r="R3378" s="41">
        <v>69</v>
      </c>
      <c r="S3378" t="s">
        <v>3321</v>
      </c>
      <c r="T3378" s="30"/>
      <c r="V3378" s="35"/>
      <c r="W3378" s="35"/>
      <c r="AA3378" s="35"/>
      <c r="AB3378" s="35"/>
      <c r="AD3378" s="30"/>
      <c r="AH3378" t="s">
        <v>359</v>
      </c>
    </row>
    <row r="3379" spans="1:34" ht="15.75">
      <c r="A3379" s="29">
        <f t="shared" si="56"/>
        <v>1872</v>
      </c>
      <c r="B3379" s="30">
        <v>580</v>
      </c>
      <c r="C3379" s="30">
        <v>1</v>
      </c>
      <c r="D3379" s="30">
        <v>1817</v>
      </c>
      <c r="E3379">
        <v>12432</v>
      </c>
      <c r="H3379" s="30" t="s">
        <v>850</v>
      </c>
      <c r="I3379" s="30">
        <v>1872</v>
      </c>
      <c r="J3379" s="30">
        <v>0</v>
      </c>
      <c r="K3379" s="30" t="s">
        <v>870</v>
      </c>
      <c r="L3379" s="43" t="s">
        <v>2787</v>
      </c>
      <c r="P3379" s="41">
        <v>8</v>
      </c>
      <c r="Q3379" s="41">
        <v>3</v>
      </c>
      <c r="R3379" s="41">
        <v>32</v>
      </c>
      <c r="S3379" t="s">
        <v>3321</v>
      </c>
      <c r="T3379" s="30"/>
      <c r="V3379" s="30"/>
      <c r="W3379" s="30"/>
      <c r="AA3379" s="30"/>
      <c r="AB3379" s="30"/>
      <c r="AD3379" s="30"/>
      <c r="AH3379" t="s">
        <v>359</v>
      </c>
    </row>
    <row r="3380" spans="1:34" ht="15.75">
      <c r="A3380" s="29">
        <f t="shared" si="56"/>
        <v>51</v>
      </c>
      <c r="B3380" s="30">
        <v>580</v>
      </c>
      <c r="C3380" s="30">
        <v>1</v>
      </c>
      <c r="D3380" s="30">
        <v>1817</v>
      </c>
      <c r="E3380">
        <v>12434</v>
      </c>
      <c r="H3380" s="30" t="s">
        <v>850</v>
      </c>
      <c r="I3380" s="30">
        <v>51</v>
      </c>
      <c r="J3380" s="30">
        <v>0</v>
      </c>
      <c r="K3380" s="30" t="s">
        <v>870</v>
      </c>
      <c r="L3380" s="43" t="s">
        <v>2787</v>
      </c>
      <c r="P3380" s="41">
        <v>8</v>
      </c>
      <c r="Q3380" s="41">
        <v>3</v>
      </c>
      <c r="R3380" s="41" t="s">
        <v>1547</v>
      </c>
      <c r="S3380" t="s">
        <v>3321</v>
      </c>
      <c r="T3380" s="30"/>
      <c r="V3380" s="37"/>
      <c r="W3380" s="37"/>
      <c r="AA3380" s="30"/>
      <c r="AB3380" s="30"/>
      <c r="AD3380" s="30"/>
      <c r="AH3380" t="s">
        <v>359</v>
      </c>
    </row>
    <row r="3381" spans="1:34" ht="15.75">
      <c r="A3381" s="29">
        <f t="shared" si="56"/>
        <v>29</v>
      </c>
      <c r="B3381" s="30">
        <v>580</v>
      </c>
      <c r="C3381" s="30">
        <v>1</v>
      </c>
      <c r="D3381" s="30">
        <v>1817</v>
      </c>
      <c r="E3381">
        <v>12435</v>
      </c>
      <c r="H3381" s="30" t="s">
        <v>850</v>
      </c>
      <c r="I3381" s="30">
        <v>29</v>
      </c>
      <c r="J3381" s="30">
        <v>0</v>
      </c>
      <c r="K3381" s="30" t="s">
        <v>870</v>
      </c>
      <c r="L3381" s="43" t="s">
        <v>2787</v>
      </c>
      <c r="P3381" s="41">
        <v>7</v>
      </c>
      <c r="Q3381" s="41">
        <v>4</v>
      </c>
      <c r="R3381" s="41">
        <v>43</v>
      </c>
      <c r="S3381" t="s">
        <v>3321</v>
      </c>
      <c r="T3381" s="30"/>
      <c r="V3381" s="30"/>
      <c r="W3381" s="30"/>
      <c r="Y3381" s="30"/>
      <c r="AA3381" s="33"/>
      <c r="AB3381" s="33"/>
      <c r="AH3381" t="s">
        <v>359</v>
      </c>
    </row>
    <row r="3382" spans="1:34" ht="15.75">
      <c r="A3382" s="29">
        <f t="shared" si="56"/>
        <v>142</v>
      </c>
      <c r="B3382" s="30">
        <v>580</v>
      </c>
      <c r="C3382" s="30">
        <v>1</v>
      </c>
      <c r="D3382" s="30">
        <v>1817</v>
      </c>
      <c r="E3382">
        <v>12436</v>
      </c>
      <c r="H3382" s="30" t="s">
        <v>1549</v>
      </c>
      <c r="I3382" s="30">
        <v>142</v>
      </c>
      <c r="J3382" s="30">
        <v>0</v>
      </c>
      <c r="K3382" s="30" t="s">
        <v>870</v>
      </c>
      <c r="L3382" s="43" t="s">
        <v>1378</v>
      </c>
      <c r="P3382" s="41">
        <v>28</v>
      </c>
      <c r="Q3382" s="41">
        <v>2</v>
      </c>
      <c r="R3382" s="41">
        <v>32</v>
      </c>
      <c r="S3382" t="s">
        <v>3321</v>
      </c>
      <c r="T3382" s="30"/>
      <c r="V3382" s="30"/>
      <c r="W3382" s="30"/>
      <c r="AA3382" s="30"/>
      <c r="AB3382" s="30"/>
      <c r="AD3382" s="30"/>
      <c r="AH3382" t="s">
        <v>359</v>
      </c>
    </row>
    <row r="3383" spans="1:34" ht="15.75">
      <c r="A3383" s="29">
        <f t="shared" si="56"/>
        <v>36000</v>
      </c>
      <c r="B3383" s="30">
        <v>580</v>
      </c>
      <c r="C3383" s="30">
        <v>1</v>
      </c>
      <c r="D3383" s="30">
        <v>1817</v>
      </c>
      <c r="E3383">
        <v>12437</v>
      </c>
      <c r="H3383" s="30" t="s">
        <v>850</v>
      </c>
      <c r="I3383" s="30">
        <v>36000</v>
      </c>
      <c r="J3383" s="30">
        <v>0</v>
      </c>
      <c r="K3383" s="30" t="s">
        <v>870</v>
      </c>
      <c r="L3383" s="43" t="s">
        <v>264</v>
      </c>
      <c r="M3383" s="41" t="s">
        <v>265</v>
      </c>
      <c r="O3383" s="41" t="s">
        <v>266</v>
      </c>
      <c r="P3383" s="41">
        <v>26</v>
      </c>
      <c r="Q3383" s="41">
        <v>7</v>
      </c>
      <c r="R3383" s="41">
        <v>30</v>
      </c>
      <c r="S3383" s="34" t="s">
        <v>1720</v>
      </c>
      <c r="T3383" s="30" t="s">
        <v>267</v>
      </c>
      <c r="V3383" s="30" t="s">
        <v>268</v>
      </c>
      <c r="W3383" s="30"/>
      <c r="Y3383" s="30"/>
      <c r="AA3383" s="30"/>
      <c r="AB3383" s="33"/>
      <c r="AH3383" t="s">
        <v>359</v>
      </c>
    </row>
    <row r="3384" spans="1:34" ht="15.75">
      <c r="A3384" s="29">
        <f t="shared" si="56"/>
        <v>69</v>
      </c>
      <c r="B3384" s="30">
        <v>580</v>
      </c>
      <c r="C3384" s="30">
        <v>1</v>
      </c>
      <c r="D3384" s="30">
        <v>1817</v>
      </c>
      <c r="E3384">
        <v>12438</v>
      </c>
      <c r="H3384" s="30" t="s">
        <v>1549</v>
      </c>
      <c r="I3384" s="30">
        <v>69</v>
      </c>
      <c r="J3384" s="30">
        <v>0</v>
      </c>
      <c r="K3384" s="30" t="s">
        <v>870</v>
      </c>
      <c r="L3384" s="43" t="s">
        <v>2309</v>
      </c>
      <c r="P3384" s="41">
        <v>19</v>
      </c>
      <c r="Q3384" s="41">
        <v>10</v>
      </c>
      <c r="R3384" s="41">
        <v>60</v>
      </c>
      <c r="S3384" t="s">
        <v>3321</v>
      </c>
      <c r="T3384" s="30"/>
      <c r="V3384" s="36"/>
      <c r="W3384" s="36"/>
      <c r="AA3384" s="30"/>
      <c r="AB3384" s="30"/>
      <c r="AD3384" s="30"/>
      <c r="AH3384" t="s">
        <v>359</v>
      </c>
    </row>
    <row r="3385" spans="1:34" ht="15.75">
      <c r="A3385" s="29">
        <f t="shared" si="56"/>
        <v>12653.432499999999</v>
      </c>
      <c r="B3385" s="31">
        <v>581</v>
      </c>
      <c r="C3385" s="31">
        <v>1</v>
      </c>
      <c r="D3385" s="31">
        <v>1817</v>
      </c>
      <c r="E3385">
        <v>12463</v>
      </c>
      <c r="F3385" s="9"/>
      <c r="G3385" s="9"/>
      <c r="H3385" s="31" t="s">
        <v>1549</v>
      </c>
      <c r="I3385" s="31">
        <v>709</v>
      </c>
      <c r="J3385" s="31">
        <v>1375</v>
      </c>
      <c r="K3385" s="30" t="s">
        <v>870</v>
      </c>
      <c r="L3385" s="43" t="s">
        <v>276</v>
      </c>
      <c r="M3385" s="43" t="s">
        <v>1543</v>
      </c>
      <c r="N3385" s="43"/>
      <c r="O3385" s="43" t="s">
        <v>277</v>
      </c>
      <c r="P3385" s="43">
        <v>2</v>
      </c>
      <c r="Q3385" s="43">
        <v>2</v>
      </c>
      <c r="R3385" s="43"/>
      <c r="S3385" s="9" t="s">
        <v>3579</v>
      </c>
      <c r="T3385" s="9" t="s">
        <v>278</v>
      </c>
      <c r="U3385" s="9"/>
      <c r="V3385" s="9" t="s">
        <v>3157</v>
      </c>
      <c r="W3385" s="9"/>
      <c r="X3385">
        <v>0.434343</v>
      </c>
      <c r="Y3385" t="s">
        <v>279</v>
      </c>
      <c r="AH3385" t="s">
        <v>359</v>
      </c>
    </row>
    <row r="3386" spans="1:34" ht="15.75">
      <c r="A3386" s="29">
        <f t="shared" si="56"/>
        <v>474</v>
      </c>
      <c r="B3386" s="31">
        <v>581</v>
      </c>
      <c r="C3386" s="31">
        <v>1</v>
      </c>
      <c r="D3386" s="31">
        <v>1817</v>
      </c>
      <c r="E3386">
        <v>12464</v>
      </c>
      <c r="F3386" s="9"/>
      <c r="G3386" s="9"/>
      <c r="H3386" s="31" t="s">
        <v>1549</v>
      </c>
      <c r="I3386" s="31">
        <v>474</v>
      </c>
      <c r="J3386" s="31">
        <v>0</v>
      </c>
      <c r="K3386" s="30" t="s">
        <v>870</v>
      </c>
      <c r="L3386" s="43" t="s">
        <v>2320</v>
      </c>
      <c r="M3386" s="43"/>
      <c r="N3386" s="43"/>
      <c r="O3386" s="43"/>
      <c r="P3386" s="43">
        <v>7</v>
      </c>
      <c r="Q3386" s="44">
        <v>4</v>
      </c>
      <c r="R3386" s="43" t="s">
        <v>1547</v>
      </c>
      <c r="S3386" s="9" t="s">
        <v>1547</v>
      </c>
      <c r="T3386" s="9"/>
      <c r="U3386" s="9"/>
      <c r="V3386" s="9"/>
      <c r="W3386" s="9"/>
      <c r="AH3386" t="s">
        <v>359</v>
      </c>
    </row>
    <row r="3387" spans="1:34" ht="15.75">
      <c r="A3387" s="29">
        <f t="shared" si="56"/>
        <v>1579</v>
      </c>
      <c r="B3387" s="31">
        <v>581</v>
      </c>
      <c r="C3387" s="31">
        <v>1</v>
      </c>
      <c r="D3387" s="31">
        <v>1817</v>
      </c>
      <c r="E3387">
        <v>12465</v>
      </c>
      <c r="F3387" s="9"/>
      <c r="G3387" s="9"/>
      <c r="H3387" s="31" t="s">
        <v>1549</v>
      </c>
      <c r="I3387" s="31">
        <v>1579</v>
      </c>
      <c r="J3387" s="31">
        <v>0</v>
      </c>
      <c r="K3387" s="30" t="s">
        <v>870</v>
      </c>
      <c r="L3387" s="43" t="s">
        <v>1008</v>
      </c>
      <c r="M3387" s="43"/>
      <c r="N3387" s="43"/>
      <c r="O3387" s="43"/>
      <c r="P3387" s="43">
        <v>26</v>
      </c>
      <c r="Q3387" s="44">
        <v>12</v>
      </c>
      <c r="R3387" s="43" t="s">
        <v>1547</v>
      </c>
      <c r="S3387" t="s">
        <v>3321</v>
      </c>
      <c r="T3387" s="9"/>
      <c r="U3387" s="9"/>
      <c r="V3387" s="9"/>
      <c r="W3387" s="9"/>
      <c r="AH3387" t="s">
        <v>359</v>
      </c>
    </row>
    <row r="3388" spans="1:34" ht="15.75">
      <c r="A3388" s="29">
        <f t="shared" si="56"/>
        <v>463</v>
      </c>
      <c r="B3388" s="31">
        <v>581</v>
      </c>
      <c r="C3388" s="31">
        <v>1</v>
      </c>
      <c r="D3388" s="31">
        <v>1817</v>
      </c>
      <c r="E3388">
        <v>12466</v>
      </c>
      <c r="F3388" s="9"/>
      <c r="G3388" s="9"/>
      <c r="H3388" s="31" t="s">
        <v>1549</v>
      </c>
      <c r="I3388" s="31">
        <v>463</v>
      </c>
      <c r="J3388" s="31">
        <v>0</v>
      </c>
      <c r="K3388" s="30" t="s">
        <v>870</v>
      </c>
      <c r="L3388" s="43" t="s">
        <v>1492</v>
      </c>
      <c r="M3388" s="43"/>
      <c r="N3388" s="43"/>
      <c r="O3388" s="43"/>
      <c r="P3388" s="43">
        <v>30</v>
      </c>
      <c r="Q3388" s="43">
        <v>6</v>
      </c>
      <c r="R3388" s="43">
        <v>50</v>
      </c>
      <c r="S3388" t="s">
        <v>3321</v>
      </c>
      <c r="T3388" s="9"/>
      <c r="U3388" s="9"/>
      <c r="V3388" s="9"/>
      <c r="W3388" s="9"/>
      <c r="AH3388" t="s">
        <v>359</v>
      </c>
    </row>
    <row r="3389" spans="1:34" ht="15.75">
      <c r="A3389" s="29">
        <f t="shared" si="56"/>
        <v>36</v>
      </c>
      <c r="B3389" s="31">
        <v>581</v>
      </c>
      <c r="C3389" s="31"/>
      <c r="D3389" s="31"/>
      <c r="E3389">
        <v>12467</v>
      </c>
      <c r="F3389" s="9"/>
      <c r="G3389" s="9"/>
      <c r="H3389" s="31" t="s">
        <v>1549</v>
      </c>
      <c r="I3389" s="31">
        <v>36</v>
      </c>
      <c r="J3389" s="31">
        <v>0</v>
      </c>
      <c r="K3389" s="30" t="s">
        <v>870</v>
      </c>
      <c r="L3389" s="43" t="s">
        <v>4326</v>
      </c>
      <c r="M3389" s="43"/>
      <c r="N3389" s="43"/>
      <c r="O3389" s="43"/>
      <c r="P3389" s="43">
        <v>22</v>
      </c>
      <c r="Q3389" s="43">
        <v>11</v>
      </c>
      <c r="R3389" s="43" t="s">
        <v>1547</v>
      </c>
      <c r="S3389" s="9" t="s">
        <v>362</v>
      </c>
      <c r="T3389" s="9"/>
      <c r="U3389" s="9"/>
      <c r="V3389" s="9"/>
      <c r="W3389" s="9"/>
      <c r="AH3389" t="s">
        <v>359</v>
      </c>
    </row>
    <row r="3390" spans="1:34" ht="15.75">
      <c r="A3390" s="29">
        <f t="shared" si="56"/>
        <v>51595</v>
      </c>
      <c r="B3390" s="31">
        <v>581</v>
      </c>
      <c r="C3390" s="31">
        <v>1</v>
      </c>
      <c r="D3390" s="31">
        <v>1817</v>
      </c>
      <c r="E3390">
        <v>12468</v>
      </c>
      <c r="F3390" s="9"/>
      <c r="G3390" s="9"/>
      <c r="H3390" s="31" t="s">
        <v>1549</v>
      </c>
      <c r="I3390" s="31">
        <f>46895+4700</f>
        <v>51595</v>
      </c>
      <c r="J3390" s="31">
        <v>0</v>
      </c>
      <c r="K3390" s="30" t="s">
        <v>870</v>
      </c>
      <c r="L3390" s="43" t="s">
        <v>280</v>
      </c>
      <c r="M3390" s="43" t="s">
        <v>281</v>
      </c>
      <c r="N3390" s="43" t="s">
        <v>207</v>
      </c>
      <c r="O3390" s="43" t="s">
        <v>282</v>
      </c>
      <c r="P3390" s="43">
        <v>18</v>
      </c>
      <c r="Q3390" s="43">
        <v>11</v>
      </c>
      <c r="R3390" s="43">
        <v>75</v>
      </c>
      <c r="S3390" s="9" t="s">
        <v>1713</v>
      </c>
      <c r="T3390" s="9" t="s">
        <v>283</v>
      </c>
      <c r="U3390" s="9"/>
      <c r="V3390" s="9" t="s">
        <v>3446</v>
      </c>
      <c r="W3390" s="9"/>
      <c r="AA3390" t="s">
        <v>284</v>
      </c>
      <c r="AD3390" t="s">
        <v>285</v>
      </c>
      <c r="AH3390" t="s">
        <v>359</v>
      </c>
    </row>
    <row r="3391" spans="1:34" ht="15.75">
      <c r="A3391" s="29">
        <f t="shared" si="56"/>
        <v>29000</v>
      </c>
      <c r="B3391" s="31">
        <v>581</v>
      </c>
      <c r="C3391" s="31">
        <v>1</v>
      </c>
      <c r="D3391" s="31">
        <v>1817</v>
      </c>
      <c r="E3391">
        <v>12469</v>
      </c>
      <c r="F3391" s="9"/>
      <c r="G3391" s="9"/>
      <c r="H3391" s="31" t="s">
        <v>1549</v>
      </c>
      <c r="I3391" s="31">
        <v>29000</v>
      </c>
      <c r="J3391" s="31">
        <v>0</v>
      </c>
      <c r="K3391" s="30" t="s">
        <v>870</v>
      </c>
      <c r="L3391" s="43" t="s">
        <v>286</v>
      </c>
      <c r="M3391" s="43" t="s">
        <v>287</v>
      </c>
      <c r="N3391" s="43"/>
      <c r="O3391" s="43" t="s">
        <v>288</v>
      </c>
      <c r="P3391" s="43">
        <v>14</v>
      </c>
      <c r="Q3391" s="43">
        <v>10</v>
      </c>
      <c r="R3391" s="43" t="s">
        <v>1547</v>
      </c>
      <c r="S3391" s="9" t="s">
        <v>289</v>
      </c>
      <c r="T3391" s="9" t="s">
        <v>290</v>
      </c>
      <c r="U3391" s="9"/>
      <c r="V3391" s="9" t="s">
        <v>3446</v>
      </c>
      <c r="W3391" s="9"/>
      <c r="AH3391" t="s">
        <v>359</v>
      </c>
    </row>
    <row r="3392" spans="1:34" ht="15.75">
      <c r="A3392" s="29">
        <f t="shared" si="56"/>
        <v>544</v>
      </c>
      <c r="B3392" s="31">
        <v>581</v>
      </c>
      <c r="C3392" s="31">
        <v>1</v>
      </c>
      <c r="D3392" s="31">
        <v>1817</v>
      </c>
      <c r="E3392">
        <v>12471</v>
      </c>
      <c r="F3392" s="9"/>
      <c r="G3392" s="9"/>
      <c r="H3392" s="31" t="s">
        <v>1549</v>
      </c>
      <c r="I3392" s="31">
        <v>544</v>
      </c>
      <c r="J3392" s="31">
        <v>0</v>
      </c>
      <c r="K3392" s="30" t="s">
        <v>870</v>
      </c>
      <c r="L3392" s="43" t="s">
        <v>4212</v>
      </c>
      <c r="M3392" s="43"/>
      <c r="N3392" s="43"/>
      <c r="O3392" s="43"/>
      <c r="P3392" s="43">
        <v>5</v>
      </c>
      <c r="Q3392" s="43">
        <v>12</v>
      </c>
      <c r="R3392" s="43">
        <v>55</v>
      </c>
      <c r="S3392" s="31" t="s">
        <v>362</v>
      </c>
      <c r="T3392" s="31"/>
      <c r="U3392" s="9"/>
      <c r="V3392" s="31"/>
      <c r="W3392" s="31"/>
      <c r="AA3392" s="30"/>
      <c r="AB3392" s="30"/>
      <c r="AD3392" s="30"/>
      <c r="AH3392" t="s">
        <v>359</v>
      </c>
    </row>
    <row r="3393" spans="1:34" ht="15.75">
      <c r="A3393" s="29">
        <f t="shared" si="56"/>
        <v>408</v>
      </c>
      <c r="B3393" s="30">
        <v>582</v>
      </c>
      <c r="C3393" s="30">
        <v>1</v>
      </c>
      <c r="D3393" s="30">
        <v>1817</v>
      </c>
      <c r="E3393">
        <v>12500</v>
      </c>
      <c r="G3393" s="29"/>
      <c r="H3393" t="s">
        <v>1541</v>
      </c>
      <c r="I3393" s="30">
        <v>408</v>
      </c>
      <c r="J3393" s="30">
        <v>0</v>
      </c>
      <c r="K3393" s="30" t="s">
        <v>4217</v>
      </c>
      <c r="L3393" s="43" t="s">
        <v>3785</v>
      </c>
      <c r="P3393" s="41">
        <v>10</v>
      </c>
      <c r="Q3393" s="41">
        <v>6</v>
      </c>
      <c r="R3393" s="41">
        <v>45</v>
      </c>
      <c r="S3393" t="s">
        <v>3321</v>
      </c>
      <c r="AH3393" t="s">
        <v>359</v>
      </c>
    </row>
    <row r="3394" spans="1:34" ht="15.75">
      <c r="A3394" s="29">
        <f t="shared" si="56"/>
        <v>1493</v>
      </c>
      <c r="B3394" s="30">
        <v>582</v>
      </c>
      <c r="C3394" s="30">
        <v>1</v>
      </c>
      <c r="D3394" s="30">
        <v>1817</v>
      </c>
      <c r="E3394">
        <v>12501</v>
      </c>
      <c r="G3394" s="29"/>
      <c r="H3394" t="s">
        <v>1541</v>
      </c>
      <c r="I3394" s="30">
        <v>1493</v>
      </c>
      <c r="J3394" s="30">
        <v>0</v>
      </c>
      <c r="K3394" s="30" t="s">
        <v>4217</v>
      </c>
      <c r="L3394" s="43" t="s">
        <v>2685</v>
      </c>
      <c r="P3394" s="41">
        <v>11</v>
      </c>
      <c r="Q3394" s="41">
        <v>10</v>
      </c>
      <c r="R3394" s="41" t="s">
        <v>1547</v>
      </c>
      <c r="S3394" t="s">
        <v>3321</v>
      </c>
      <c r="AH3394" t="s">
        <v>359</v>
      </c>
    </row>
    <row r="3395" spans="1:34" ht="15.75">
      <c r="A3395" s="29">
        <f t="shared" si="56"/>
        <v>1252</v>
      </c>
      <c r="B3395" s="30">
        <v>582</v>
      </c>
      <c r="C3395" s="30">
        <v>1</v>
      </c>
      <c r="D3395" s="30">
        <v>1817</v>
      </c>
      <c r="E3395">
        <v>12502</v>
      </c>
      <c r="G3395" s="29"/>
      <c r="H3395" t="s">
        <v>1541</v>
      </c>
      <c r="I3395" s="30">
        <v>1252</v>
      </c>
      <c r="J3395" s="30">
        <v>0</v>
      </c>
      <c r="K3395" s="30" t="s">
        <v>4217</v>
      </c>
      <c r="L3395" s="43" t="s">
        <v>4327</v>
      </c>
      <c r="P3395" s="41">
        <v>6</v>
      </c>
      <c r="Q3395" s="41">
        <v>6</v>
      </c>
      <c r="R3395" s="41" t="s">
        <v>1547</v>
      </c>
      <c r="S3395" t="s">
        <v>3321</v>
      </c>
      <c r="AH3395" t="s">
        <v>359</v>
      </c>
    </row>
    <row r="3396" spans="1:34" ht="15.75">
      <c r="A3396" s="29">
        <f t="shared" si="56"/>
        <v>209710</v>
      </c>
      <c r="B3396" s="30">
        <v>582</v>
      </c>
      <c r="C3396" s="30">
        <v>1</v>
      </c>
      <c r="D3396" s="30">
        <v>1817</v>
      </c>
      <c r="E3396">
        <v>12503</v>
      </c>
      <c r="G3396" s="29"/>
      <c r="H3396" t="s">
        <v>1541</v>
      </c>
      <c r="I3396" s="30">
        <f>161726+31324</f>
        <v>193050</v>
      </c>
      <c r="J3396" s="30">
        <v>833</v>
      </c>
      <c r="K3396" s="30" t="s">
        <v>4217</v>
      </c>
      <c r="L3396" s="43" t="s">
        <v>295</v>
      </c>
      <c r="M3396" s="41" t="s">
        <v>878</v>
      </c>
      <c r="O3396" s="41" t="s">
        <v>296</v>
      </c>
      <c r="P3396" s="41">
        <v>14</v>
      </c>
      <c r="Q3396" s="41">
        <v>3</v>
      </c>
      <c r="R3396" s="41">
        <v>33</v>
      </c>
      <c r="S3396" t="s">
        <v>297</v>
      </c>
      <c r="T3396" t="s">
        <v>298</v>
      </c>
      <c r="V3396" t="s">
        <v>3370</v>
      </c>
      <c r="X3396">
        <v>1</v>
      </c>
      <c r="Y3396" t="s">
        <v>299</v>
      </c>
      <c r="AH3396" t="s">
        <v>359</v>
      </c>
    </row>
    <row r="3397" spans="1:34" ht="15.75">
      <c r="A3397" s="29">
        <f t="shared" si="56"/>
        <v>6221</v>
      </c>
      <c r="B3397" s="30">
        <v>582</v>
      </c>
      <c r="C3397" s="30">
        <v>1</v>
      </c>
      <c r="D3397" s="30">
        <v>1817</v>
      </c>
      <c r="E3397">
        <v>12504</v>
      </c>
      <c r="G3397" s="29"/>
      <c r="H3397" t="s">
        <v>1540</v>
      </c>
      <c r="I3397" s="30">
        <v>6221</v>
      </c>
      <c r="J3397" s="30">
        <v>0</v>
      </c>
      <c r="K3397" s="30" t="s">
        <v>4217</v>
      </c>
      <c r="L3397" s="43" t="s">
        <v>4216</v>
      </c>
      <c r="P3397" s="41">
        <v>14</v>
      </c>
      <c r="Q3397" s="41">
        <v>1</v>
      </c>
      <c r="R3397" s="41">
        <v>42</v>
      </c>
      <c r="S3397" t="s">
        <v>884</v>
      </c>
      <c r="AH3397" t="s">
        <v>359</v>
      </c>
    </row>
    <row r="3398" spans="1:34" ht="15.75">
      <c r="A3398" s="29">
        <f t="shared" si="56"/>
        <v>88</v>
      </c>
      <c r="B3398" s="30">
        <v>582</v>
      </c>
      <c r="C3398" s="30">
        <v>1</v>
      </c>
      <c r="D3398" s="30">
        <v>1817</v>
      </c>
      <c r="E3398">
        <v>12505</v>
      </c>
      <c r="G3398" s="29"/>
      <c r="H3398" t="s">
        <v>1541</v>
      </c>
      <c r="I3398" s="30">
        <v>88</v>
      </c>
      <c r="J3398" s="30">
        <v>0</v>
      </c>
      <c r="K3398" s="30" t="s">
        <v>4217</v>
      </c>
      <c r="L3398" s="43" t="s">
        <v>2686</v>
      </c>
      <c r="P3398" s="41">
        <v>8</v>
      </c>
      <c r="Q3398" s="41">
        <v>10</v>
      </c>
      <c r="R3398" s="41" t="s">
        <v>1547</v>
      </c>
      <c r="S3398" t="s">
        <v>1547</v>
      </c>
      <c r="AH3398" t="s">
        <v>359</v>
      </c>
    </row>
    <row r="3399" spans="1:34" ht="15.75">
      <c r="A3399" s="29">
        <f t="shared" si="56"/>
        <v>59</v>
      </c>
      <c r="B3399" s="30">
        <v>582</v>
      </c>
      <c r="C3399" s="30">
        <v>1</v>
      </c>
      <c r="D3399" s="30">
        <v>1817</v>
      </c>
      <c r="E3399">
        <v>12506</v>
      </c>
      <c r="G3399" s="29"/>
      <c r="H3399" t="s">
        <v>1541</v>
      </c>
      <c r="I3399" s="30">
        <v>59</v>
      </c>
      <c r="J3399" s="30">
        <v>0</v>
      </c>
      <c r="K3399" s="30" t="s">
        <v>871</v>
      </c>
      <c r="L3399" s="43" t="s">
        <v>4810</v>
      </c>
      <c r="P3399" s="41">
        <v>29</v>
      </c>
      <c r="Q3399" s="41">
        <v>11</v>
      </c>
      <c r="R3399" s="41">
        <v>76</v>
      </c>
      <c r="S3399" t="s">
        <v>874</v>
      </c>
      <c r="AH3399" t="s">
        <v>359</v>
      </c>
    </row>
    <row r="3400" spans="1:34" ht="15.75">
      <c r="A3400" s="29">
        <f t="shared" si="56"/>
        <v>58</v>
      </c>
      <c r="B3400" s="30">
        <v>582</v>
      </c>
      <c r="C3400" s="30">
        <v>1</v>
      </c>
      <c r="D3400" s="30">
        <v>1817</v>
      </c>
      <c r="E3400">
        <v>12507</v>
      </c>
      <c r="G3400" s="29"/>
      <c r="H3400" t="s">
        <v>1541</v>
      </c>
      <c r="I3400" s="30">
        <v>58</v>
      </c>
      <c r="J3400" s="30">
        <v>0</v>
      </c>
      <c r="K3400" s="30" t="s">
        <v>871</v>
      </c>
      <c r="L3400" s="43" t="s">
        <v>4810</v>
      </c>
      <c r="P3400" s="41">
        <v>22</v>
      </c>
      <c r="Q3400" s="41">
        <v>9</v>
      </c>
      <c r="R3400" s="41">
        <v>31</v>
      </c>
      <c r="S3400" t="s">
        <v>3321</v>
      </c>
      <c r="AH3400" t="s">
        <v>359</v>
      </c>
    </row>
    <row r="3401" spans="1:34" ht="15.75">
      <c r="A3401" s="29">
        <f t="shared" si="56"/>
        <v>4978</v>
      </c>
      <c r="B3401" s="30">
        <v>582</v>
      </c>
      <c r="C3401" s="30">
        <v>1</v>
      </c>
      <c r="D3401" s="30">
        <v>1817</v>
      </c>
      <c r="E3401">
        <v>12508</v>
      </c>
      <c r="G3401" s="29"/>
      <c r="H3401" t="s">
        <v>1540</v>
      </c>
      <c r="I3401" s="30">
        <v>4978</v>
      </c>
      <c r="J3401" s="30">
        <v>0</v>
      </c>
      <c r="K3401" s="30" t="s">
        <v>871</v>
      </c>
      <c r="L3401" s="43" t="s">
        <v>1342</v>
      </c>
      <c r="P3401" s="41">
        <v>7</v>
      </c>
      <c r="Q3401" s="41">
        <v>6</v>
      </c>
      <c r="R3401" s="41">
        <v>88</v>
      </c>
      <c r="S3401" t="s">
        <v>3321</v>
      </c>
      <c r="AH3401" t="s">
        <v>359</v>
      </c>
    </row>
    <row r="3402" spans="1:34" ht="15.75">
      <c r="A3402" s="29">
        <f t="shared" si="56"/>
        <v>11033</v>
      </c>
      <c r="B3402" s="30">
        <v>583</v>
      </c>
      <c r="C3402" s="30">
        <v>1</v>
      </c>
      <c r="D3402" s="30">
        <v>1817</v>
      </c>
      <c r="E3402">
        <v>12535</v>
      </c>
      <c r="F3402" s="30"/>
      <c r="G3402" s="29"/>
      <c r="H3402" t="s">
        <v>1540</v>
      </c>
      <c r="I3402" s="30">
        <v>11033</v>
      </c>
      <c r="J3402" s="30">
        <v>0</v>
      </c>
      <c r="K3402" s="30" t="s">
        <v>871</v>
      </c>
      <c r="L3402" s="43" t="s">
        <v>4812</v>
      </c>
      <c r="P3402" s="41">
        <v>24</v>
      </c>
      <c r="Q3402" s="41">
        <v>6</v>
      </c>
      <c r="R3402" s="41" t="s">
        <v>1547</v>
      </c>
      <c r="S3402" t="s">
        <v>3321</v>
      </c>
      <c r="AH3402" t="s">
        <v>359</v>
      </c>
    </row>
    <row r="3403" spans="1:34" ht="15.75">
      <c r="A3403" s="29">
        <f t="shared" si="56"/>
        <v>1980.6040799999998</v>
      </c>
      <c r="B3403" s="30">
        <v>583</v>
      </c>
      <c r="C3403" s="30">
        <v>1</v>
      </c>
      <c r="D3403" s="30">
        <v>1817</v>
      </c>
      <c r="E3403">
        <v>12536</v>
      </c>
      <c r="G3403" s="29"/>
      <c r="H3403" t="s">
        <v>1540</v>
      </c>
      <c r="I3403" s="30">
        <v>0</v>
      </c>
      <c r="J3403" s="30">
        <v>228</v>
      </c>
      <c r="K3403" s="30" t="s">
        <v>871</v>
      </c>
      <c r="L3403" s="43" t="s">
        <v>4812</v>
      </c>
      <c r="P3403" s="41">
        <v>25</v>
      </c>
      <c r="Q3403" s="41">
        <v>8</v>
      </c>
      <c r="R3403" s="41">
        <v>51</v>
      </c>
      <c r="S3403" t="s">
        <v>3321</v>
      </c>
      <c r="X3403">
        <v>0.434343</v>
      </c>
      <c r="Y3403" t="s">
        <v>305</v>
      </c>
      <c r="AH3403" t="s">
        <v>359</v>
      </c>
    </row>
    <row r="3404" spans="1:34" ht="15.75">
      <c r="A3404" s="29">
        <f t="shared" si="56"/>
        <v>1312.5</v>
      </c>
      <c r="B3404" s="30">
        <v>583</v>
      </c>
      <c r="C3404" s="30">
        <v>1</v>
      </c>
      <c r="D3404" s="30">
        <v>1817</v>
      </c>
      <c r="E3404">
        <v>12537</v>
      </c>
      <c r="F3404" s="30"/>
      <c r="G3404" s="29"/>
      <c r="H3404" t="s">
        <v>1541</v>
      </c>
      <c r="I3404" s="30">
        <v>0</v>
      </c>
      <c r="J3404" s="30">
        <v>525</v>
      </c>
      <c r="K3404" s="30" t="s">
        <v>871</v>
      </c>
      <c r="L3404" s="43" t="s">
        <v>4812</v>
      </c>
      <c r="P3404" s="41">
        <v>10</v>
      </c>
      <c r="Q3404" s="41">
        <v>6</v>
      </c>
      <c r="R3404" s="41" t="s">
        <v>1547</v>
      </c>
      <c r="S3404" t="s">
        <v>1547</v>
      </c>
      <c r="X3404">
        <f>1/8</f>
        <v>0.125</v>
      </c>
      <c r="Y3404" t="s">
        <v>306</v>
      </c>
      <c r="AH3404" t="s">
        <v>359</v>
      </c>
    </row>
    <row r="3405" spans="1:34" ht="15.75">
      <c r="A3405" s="29">
        <f t="shared" si="56"/>
        <v>65</v>
      </c>
      <c r="B3405" s="30">
        <v>583</v>
      </c>
      <c r="C3405" s="30">
        <v>1</v>
      </c>
      <c r="D3405" s="30">
        <v>1817</v>
      </c>
      <c r="E3405">
        <v>12538</v>
      </c>
      <c r="G3405" s="29"/>
      <c r="H3405" t="s">
        <v>1541</v>
      </c>
      <c r="I3405" s="30">
        <v>65</v>
      </c>
      <c r="J3405" s="30">
        <v>0</v>
      </c>
      <c r="K3405" s="30" t="s">
        <v>871</v>
      </c>
      <c r="L3405" s="43" t="s">
        <v>4812</v>
      </c>
      <c r="P3405" s="41">
        <v>15</v>
      </c>
      <c r="Q3405" s="41">
        <v>7</v>
      </c>
      <c r="R3405" s="41">
        <v>70</v>
      </c>
      <c r="S3405" t="s">
        <v>1547</v>
      </c>
      <c r="AH3405" t="s">
        <v>359</v>
      </c>
    </row>
    <row r="3406" spans="1:34" ht="15.75">
      <c r="A3406" s="29">
        <f t="shared" si="56"/>
        <v>1120</v>
      </c>
      <c r="B3406" s="30">
        <v>583</v>
      </c>
      <c r="C3406" s="30">
        <v>1</v>
      </c>
      <c r="D3406" s="30">
        <v>1817</v>
      </c>
      <c r="E3406">
        <v>12539</v>
      </c>
      <c r="G3406" s="29"/>
      <c r="H3406" t="s">
        <v>1540</v>
      </c>
      <c r="I3406" s="30">
        <v>1120</v>
      </c>
      <c r="J3406" s="30">
        <v>0</v>
      </c>
      <c r="K3406" s="30" t="s">
        <v>871</v>
      </c>
      <c r="L3406" s="43" t="s">
        <v>4812</v>
      </c>
      <c r="P3406" s="41">
        <v>30</v>
      </c>
      <c r="Q3406" s="41">
        <v>3</v>
      </c>
      <c r="R3406" s="41">
        <v>54</v>
      </c>
      <c r="S3406" t="s">
        <v>2129</v>
      </c>
      <c r="AH3406" t="s">
        <v>359</v>
      </c>
    </row>
    <row r="3407" spans="1:34" ht="15.75">
      <c r="A3407" s="29">
        <f t="shared" si="56"/>
        <v>1053</v>
      </c>
      <c r="B3407" s="30">
        <v>583</v>
      </c>
      <c r="C3407" s="30"/>
      <c r="D3407" s="30"/>
      <c r="E3407">
        <v>12540</v>
      </c>
      <c r="G3407" s="29"/>
      <c r="H3407" t="s">
        <v>1549</v>
      </c>
      <c r="I3407" s="30">
        <v>1053</v>
      </c>
      <c r="J3407" s="30">
        <v>0</v>
      </c>
      <c r="K3407" s="30" t="s">
        <v>871</v>
      </c>
      <c r="L3407" s="43" t="s">
        <v>2790</v>
      </c>
      <c r="P3407" s="41">
        <v>25</v>
      </c>
      <c r="Q3407" s="41">
        <v>10</v>
      </c>
      <c r="R3407" s="41">
        <v>56</v>
      </c>
      <c r="S3407" t="s">
        <v>3321</v>
      </c>
      <c r="AH3407" t="s">
        <v>359</v>
      </c>
    </row>
    <row r="3408" spans="1:34" ht="15.75">
      <c r="A3408" s="29">
        <f t="shared" si="56"/>
        <v>270</v>
      </c>
      <c r="B3408" s="30">
        <v>583</v>
      </c>
      <c r="C3408" s="30">
        <v>1</v>
      </c>
      <c r="D3408" s="30">
        <v>1817</v>
      </c>
      <c r="E3408">
        <v>12541</v>
      </c>
      <c r="G3408" s="29"/>
      <c r="H3408" t="s">
        <v>1541</v>
      </c>
      <c r="I3408" s="30">
        <v>270</v>
      </c>
      <c r="J3408" s="30">
        <v>0</v>
      </c>
      <c r="K3408" s="30" t="s">
        <v>871</v>
      </c>
      <c r="L3408" s="43" t="s">
        <v>2790</v>
      </c>
      <c r="P3408" s="41">
        <v>12</v>
      </c>
      <c r="Q3408" s="41">
        <v>10</v>
      </c>
      <c r="R3408" s="41">
        <v>68</v>
      </c>
      <c r="S3408" t="s">
        <v>874</v>
      </c>
      <c r="AH3408" t="s">
        <v>359</v>
      </c>
    </row>
    <row r="3409" spans="1:34" ht="15.75">
      <c r="A3409" s="29">
        <f t="shared" si="56"/>
        <v>163</v>
      </c>
      <c r="B3409" s="30">
        <v>583</v>
      </c>
      <c r="C3409" s="30">
        <v>1</v>
      </c>
      <c r="D3409" s="30">
        <v>1817</v>
      </c>
      <c r="E3409">
        <v>12542</v>
      </c>
      <c r="G3409" s="29"/>
      <c r="H3409" t="s">
        <v>1540</v>
      </c>
      <c r="I3409" s="30">
        <v>163</v>
      </c>
      <c r="J3409" s="30">
        <v>0</v>
      </c>
      <c r="K3409" s="30" t="s">
        <v>871</v>
      </c>
      <c r="L3409" s="43" t="s">
        <v>4794</v>
      </c>
      <c r="P3409" s="41">
        <v>6</v>
      </c>
      <c r="Q3409" s="41">
        <v>10</v>
      </c>
      <c r="R3409" s="41">
        <v>55</v>
      </c>
      <c r="S3409" t="s">
        <v>3321</v>
      </c>
      <c r="AH3409" t="s">
        <v>359</v>
      </c>
    </row>
    <row r="3410" spans="1:34" ht="15.75">
      <c r="A3410" s="29">
        <f t="shared" si="56"/>
        <v>538</v>
      </c>
      <c r="B3410" s="30">
        <v>583</v>
      </c>
      <c r="C3410" s="30">
        <v>1</v>
      </c>
      <c r="D3410" s="30">
        <v>1817</v>
      </c>
      <c r="E3410">
        <v>12543</v>
      </c>
      <c r="G3410" s="29"/>
      <c r="H3410" t="s">
        <v>1540</v>
      </c>
      <c r="I3410" s="30">
        <v>538</v>
      </c>
      <c r="J3410" s="30">
        <v>0</v>
      </c>
      <c r="K3410" s="30" t="s">
        <v>871</v>
      </c>
      <c r="L3410" s="43" t="s">
        <v>1380</v>
      </c>
      <c r="P3410" s="41">
        <v>30</v>
      </c>
      <c r="Q3410" s="41">
        <v>10</v>
      </c>
      <c r="R3410" s="41" t="s">
        <v>1547</v>
      </c>
      <c r="S3410" t="s">
        <v>3321</v>
      </c>
      <c r="AH3410" t="s">
        <v>359</v>
      </c>
    </row>
    <row r="3411" spans="1:34" ht="15.75">
      <c r="A3411" s="29">
        <f aca="true" t="shared" si="57" ref="A3411:A3460">I3411+J3411*20*X3411</f>
        <v>40803</v>
      </c>
      <c r="B3411" s="30">
        <v>583</v>
      </c>
      <c r="C3411" s="30">
        <v>1</v>
      </c>
      <c r="D3411" s="30">
        <v>1817</v>
      </c>
      <c r="E3411">
        <v>12544</v>
      </c>
      <c r="G3411" s="29"/>
      <c r="H3411" t="s">
        <v>1541</v>
      </c>
      <c r="I3411" s="30">
        <v>40803</v>
      </c>
      <c r="J3411" s="30">
        <v>0</v>
      </c>
      <c r="K3411" s="30" t="s">
        <v>871</v>
      </c>
      <c r="L3411" s="43" t="s">
        <v>307</v>
      </c>
      <c r="M3411" s="41" t="s">
        <v>308</v>
      </c>
      <c r="O3411" s="41" t="s">
        <v>309</v>
      </c>
      <c r="P3411" s="41">
        <v>4</v>
      </c>
      <c r="Q3411" s="41">
        <v>9</v>
      </c>
      <c r="R3411" s="41" t="s">
        <v>1547</v>
      </c>
      <c r="S3411" t="s">
        <v>310</v>
      </c>
      <c r="T3411" t="s">
        <v>3442</v>
      </c>
      <c r="V3411" t="s">
        <v>311</v>
      </c>
      <c r="AH3411" t="s">
        <v>359</v>
      </c>
    </row>
    <row r="3412" spans="1:34" ht="15.75">
      <c r="A3412" s="29">
        <f t="shared" si="57"/>
        <v>22</v>
      </c>
      <c r="B3412" s="30">
        <v>584</v>
      </c>
      <c r="C3412" s="30">
        <v>1</v>
      </c>
      <c r="D3412" s="30">
        <v>1817</v>
      </c>
      <c r="E3412">
        <v>12575</v>
      </c>
      <c r="G3412" s="29"/>
      <c r="H3412" t="s">
        <v>1541</v>
      </c>
      <c r="I3412" s="30">
        <v>22</v>
      </c>
      <c r="J3412" s="30">
        <v>0</v>
      </c>
      <c r="K3412" s="30" t="s">
        <v>871</v>
      </c>
      <c r="L3412" s="43" t="s">
        <v>4801</v>
      </c>
      <c r="P3412" s="41">
        <v>14</v>
      </c>
      <c r="Q3412" s="41">
        <v>11</v>
      </c>
      <c r="R3412" s="41" t="s">
        <v>1547</v>
      </c>
      <c r="S3412" t="s">
        <v>3321</v>
      </c>
      <c r="AH3412" t="s">
        <v>359</v>
      </c>
    </row>
    <row r="3413" spans="1:34" ht="15.75">
      <c r="A3413" s="29">
        <f t="shared" si="57"/>
        <v>3074</v>
      </c>
      <c r="B3413" s="30">
        <v>584</v>
      </c>
      <c r="C3413" s="30">
        <v>1</v>
      </c>
      <c r="D3413" s="30">
        <v>1817</v>
      </c>
      <c r="E3413">
        <v>12576</v>
      </c>
      <c r="G3413" s="29"/>
      <c r="H3413" t="s">
        <v>1541</v>
      </c>
      <c r="I3413" s="30">
        <v>3074</v>
      </c>
      <c r="J3413" s="30">
        <v>0</v>
      </c>
      <c r="K3413" s="30" t="s">
        <v>871</v>
      </c>
      <c r="L3413" s="43" t="s">
        <v>4802</v>
      </c>
      <c r="P3413" s="41">
        <v>28</v>
      </c>
      <c r="Q3413" s="41">
        <v>9</v>
      </c>
      <c r="R3413" s="41">
        <v>46</v>
      </c>
      <c r="S3413" t="s">
        <v>3321</v>
      </c>
      <c r="AH3413" t="s">
        <v>359</v>
      </c>
    </row>
    <row r="3414" spans="1:34" ht="15.75">
      <c r="A3414" s="29">
        <f t="shared" si="57"/>
        <v>188</v>
      </c>
      <c r="B3414" s="30">
        <v>584</v>
      </c>
      <c r="C3414" s="30">
        <v>1</v>
      </c>
      <c r="D3414" s="30">
        <v>1817</v>
      </c>
      <c r="E3414">
        <v>12577</v>
      </c>
      <c r="G3414" s="29"/>
      <c r="H3414" t="s">
        <v>1540</v>
      </c>
      <c r="I3414" s="30">
        <v>188</v>
      </c>
      <c r="J3414" s="30">
        <v>0</v>
      </c>
      <c r="K3414" s="30" t="s">
        <v>871</v>
      </c>
      <c r="L3414" s="43" t="s">
        <v>5768</v>
      </c>
      <c r="P3414" s="41">
        <v>14</v>
      </c>
      <c r="Q3414" s="41">
        <v>4</v>
      </c>
      <c r="R3414" s="41">
        <v>65</v>
      </c>
      <c r="AH3414" t="s">
        <v>359</v>
      </c>
    </row>
    <row r="3415" spans="1:34" ht="15.75">
      <c r="A3415" s="29">
        <f t="shared" si="57"/>
        <v>71751</v>
      </c>
      <c r="B3415" s="30">
        <v>584</v>
      </c>
      <c r="C3415" s="30">
        <v>1</v>
      </c>
      <c r="D3415" s="30">
        <v>1817</v>
      </c>
      <c r="E3415">
        <v>12578</v>
      </c>
      <c r="G3415" s="29"/>
      <c r="H3415" t="s">
        <v>1540</v>
      </c>
      <c r="I3415" s="30">
        <v>71751</v>
      </c>
      <c r="J3415" s="30">
        <v>0</v>
      </c>
      <c r="K3415" s="30" t="s">
        <v>871</v>
      </c>
      <c r="L3415" s="43" t="s">
        <v>312</v>
      </c>
      <c r="M3415" s="41" t="s">
        <v>313</v>
      </c>
      <c r="N3415" s="41" t="s">
        <v>4941</v>
      </c>
      <c r="O3415" s="41" t="s">
        <v>314</v>
      </c>
      <c r="P3415" s="41">
        <v>5</v>
      </c>
      <c r="Q3415" s="41">
        <v>2</v>
      </c>
      <c r="R3415" s="41">
        <v>53</v>
      </c>
      <c r="S3415" t="s">
        <v>3343</v>
      </c>
      <c r="T3415" t="s">
        <v>315</v>
      </c>
      <c r="V3415" t="s">
        <v>316</v>
      </c>
      <c r="AH3415" t="s">
        <v>359</v>
      </c>
    </row>
    <row r="3416" spans="1:34" ht="15.75">
      <c r="A3416" s="29">
        <f t="shared" si="57"/>
        <v>1375</v>
      </c>
      <c r="B3416" s="30">
        <v>584</v>
      </c>
      <c r="C3416" s="30">
        <v>1</v>
      </c>
      <c r="D3416" s="30">
        <v>1817</v>
      </c>
      <c r="E3416">
        <v>12579</v>
      </c>
      <c r="G3416" s="29"/>
      <c r="H3416" t="s">
        <v>1541</v>
      </c>
      <c r="I3416" s="30">
        <v>1375</v>
      </c>
      <c r="J3416" s="30">
        <v>0</v>
      </c>
      <c r="K3416" s="30" t="s">
        <v>871</v>
      </c>
      <c r="L3416" s="43" t="s">
        <v>5768</v>
      </c>
      <c r="P3416" s="41">
        <v>4</v>
      </c>
      <c r="Q3416" s="41">
        <v>5</v>
      </c>
      <c r="R3416" s="41">
        <v>65</v>
      </c>
      <c r="S3416" t="s">
        <v>874</v>
      </c>
      <c r="AH3416" t="s">
        <v>359</v>
      </c>
    </row>
    <row r="3417" spans="1:34" ht="15.75">
      <c r="A3417" s="29">
        <f t="shared" si="57"/>
        <v>241930</v>
      </c>
      <c r="B3417" s="30">
        <v>584</v>
      </c>
      <c r="C3417" s="30">
        <v>1</v>
      </c>
      <c r="D3417" s="30">
        <v>1817</v>
      </c>
      <c r="E3417">
        <v>12580</v>
      </c>
      <c r="G3417" s="29"/>
      <c r="H3417" t="s">
        <v>1540</v>
      </c>
      <c r="I3417" s="30">
        <v>191930</v>
      </c>
      <c r="J3417" s="30">
        <v>5000</v>
      </c>
      <c r="K3417" s="30" t="s">
        <v>871</v>
      </c>
      <c r="L3417" s="43" t="s">
        <v>5228</v>
      </c>
      <c r="M3417" s="41" t="s">
        <v>317</v>
      </c>
      <c r="O3417" s="41" t="s">
        <v>366</v>
      </c>
      <c r="P3417" s="41">
        <v>8</v>
      </c>
      <c r="Q3417" s="41">
        <v>11</v>
      </c>
      <c r="R3417" s="41" t="s">
        <v>1547</v>
      </c>
      <c r="S3417" t="s">
        <v>318</v>
      </c>
      <c r="T3417" t="s">
        <v>5025</v>
      </c>
      <c r="V3417" t="s">
        <v>5445</v>
      </c>
      <c r="X3417">
        <v>0.5</v>
      </c>
      <c r="Y3417" t="s">
        <v>366</v>
      </c>
      <c r="AH3417" t="s">
        <v>359</v>
      </c>
    </row>
    <row r="3418" spans="1:34" ht="15.75">
      <c r="A3418" s="29">
        <f t="shared" si="57"/>
        <v>225</v>
      </c>
      <c r="B3418" s="30">
        <v>584</v>
      </c>
      <c r="C3418" s="30">
        <v>1</v>
      </c>
      <c r="D3418" s="30">
        <v>1817</v>
      </c>
      <c r="E3418">
        <v>12581</v>
      </c>
      <c r="G3418" s="29"/>
      <c r="H3418" t="s">
        <v>1541</v>
      </c>
      <c r="I3418" s="30">
        <v>225</v>
      </c>
      <c r="J3418" s="30">
        <v>0</v>
      </c>
      <c r="K3418" s="30" t="s">
        <v>871</v>
      </c>
      <c r="L3418" s="43" t="s">
        <v>4827</v>
      </c>
      <c r="P3418" s="41">
        <v>11</v>
      </c>
      <c r="Q3418" s="41">
        <v>10</v>
      </c>
      <c r="R3418" s="41">
        <v>1817</v>
      </c>
      <c r="AH3418" t="s">
        <v>359</v>
      </c>
    </row>
    <row r="3419" spans="1:34" ht="15.75">
      <c r="A3419" s="29">
        <f t="shared" si="57"/>
        <v>105</v>
      </c>
      <c r="B3419" s="30">
        <v>585</v>
      </c>
      <c r="C3419" s="30">
        <v>1</v>
      </c>
      <c r="D3419" s="30">
        <v>1817</v>
      </c>
      <c r="E3419">
        <v>12600</v>
      </c>
      <c r="G3419" s="29"/>
      <c r="H3419" t="s">
        <v>850</v>
      </c>
      <c r="I3419" s="30">
        <v>105</v>
      </c>
      <c r="J3419" s="30">
        <v>0</v>
      </c>
      <c r="K3419" s="30" t="s">
        <v>872</v>
      </c>
      <c r="L3419" s="43" t="s">
        <v>4830</v>
      </c>
      <c r="P3419" s="41">
        <v>24</v>
      </c>
      <c r="Q3419" s="41">
        <v>7</v>
      </c>
      <c r="R3419" s="41">
        <v>21</v>
      </c>
      <c r="S3419" t="s">
        <v>1547</v>
      </c>
      <c r="AH3419" t="s">
        <v>359</v>
      </c>
    </row>
    <row r="3420" spans="1:34" ht="15.75">
      <c r="A3420" s="29">
        <f t="shared" si="57"/>
        <v>12500</v>
      </c>
      <c r="B3420" s="30">
        <v>585</v>
      </c>
      <c r="C3420" s="30"/>
      <c r="D3420" s="30"/>
      <c r="E3420">
        <v>12602</v>
      </c>
      <c r="G3420" s="29"/>
      <c r="H3420" t="s">
        <v>850</v>
      </c>
      <c r="I3420" s="30">
        <v>0</v>
      </c>
      <c r="J3420" s="30">
        <v>1250</v>
      </c>
      <c r="K3420" s="30" t="s">
        <v>872</v>
      </c>
      <c r="L3420" s="43" t="s">
        <v>321</v>
      </c>
      <c r="P3420" s="41">
        <v>24</v>
      </c>
      <c r="Q3420" s="41">
        <v>5</v>
      </c>
      <c r="R3420" s="41" t="s">
        <v>1547</v>
      </c>
      <c r="S3420" t="s">
        <v>3321</v>
      </c>
      <c r="X3420">
        <v>0.5</v>
      </c>
      <c r="Y3420" t="s">
        <v>322</v>
      </c>
      <c r="AH3420" t="s">
        <v>359</v>
      </c>
    </row>
    <row r="3421" spans="1:34" ht="15.75">
      <c r="A3421" s="29">
        <f t="shared" si="57"/>
        <v>131</v>
      </c>
      <c r="B3421" s="30">
        <v>585</v>
      </c>
      <c r="C3421" s="30">
        <v>1</v>
      </c>
      <c r="D3421" s="30">
        <v>1817</v>
      </c>
      <c r="E3421">
        <v>12603</v>
      </c>
      <c r="G3421" s="29"/>
      <c r="H3421" t="s">
        <v>850</v>
      </c>
      <c r="I3421" s="30">
        <v>131</v>
      </c>
      <c r="J3421" s="30">
        <v>0</v>
      </c>
      <c r="K3421" s="30" t="s">
        <v>872</v>
      </c>
      <c r="L3421" s="43" t="s">
        <v>4834</v>
      </c>
      <c r="P3421" s="41">
        <v>20</v>
      </c>
      <c r="Q3421" s="41">
        <v>3</v>
      </c>
      <c r="R3421" s="41">
        <v>51</v>
      </c>
      <c r="S3421" t="s">
        <v>3075</v>
      </c>
      <c r="AH3421" t="s">
        <v>359</v>
      </c>
    </row>
    <row r="3422" spans="1:34" ht="15.75">
      <c r="A3422" s="29">
        <f t="shared" si="57"/>
        <v>2318</v>
      </c>
      <c r="B3422" s="30">
        <v>585</v>
      </c>
      <c r="C3422" s="30">
        <v>1</v>
      </c>
      <c r="D3422" s="30">
        <v>1817</v>
      </c>
      <c r="E3422">
        <v>12604</v>
      </c>
      <c r="G3422" s="29"/>
      <c r="H3422" t="s">
        <v>850</v>
      </c>
      <c r="I3422" s="30">
        <v>2318</v>
      </c>
      <c r="J3422" s="30">
        <v>0</v>
      </c>
      <c r="K3422" s="30" t="s">
        <v>872</v>
      </c>
      <c r="L3422" s="43" t="s">
        <v>4835</v>
      </c>
      <c r="P3422" s="41">
        <v>11</v>
      </c>
      <c r="Q3422" s="41">
        <v>6</v>
      </c>
      <c r="R3422" s="41">
        <v>3</v>
      </c>
      <c r="S3422" t="s">
        <v>884</v>
      </c>
      <c r="AH3422" t="s">
        <v>359</v>
      </c>
    </row>
    <row r="3423" spans="1:34" ht="15.75">
      <c r="A3423" s="29">
        <f t="shared" si="57"/>
        <v>6972</v>
      </c>
      <c r="B3423" s="30">
        <v>585</v>
      </c>
      <c r="C3423" s="30">
        <v>1</v>
      </c>
      <c r="D3423" s="30">
        <v>1817</v>
      </c>
      <c r="E3423">
        <v>12605</v>
      </c>
      <c r="G3423" s="29"/>
      <c r="H3423" t="s">
        <v>850</v>
      </c>
      <c r="I3423" s="30">
        <f>6872+100</f>
        <v>6972</v>
      </c>
      <c r="J3423" s="30">
        <v>0</v>
      </c>
      <c r="K3423" s="30" t="s">
        <v>872</v>
      </c>
      <c r="L3423" s="43" t="s">
        <v>4227</v>
      </c>
      <c r="P3423" s="41">
        <v>25</v>
      </c>
      <c r="Q3423" s="41">
        <v>6</v>
      </c>
      <c r="R3423" s="41">
        <v>68</v>
      </c>
      <c r="S3423" t="s">
        <v>3321</v>
      </c>
      <c r="AH3423" t="s">
        <v>359</v>
      </c>
    </row>
    <row r="3424" spans="1:34" ht="15.75">
      <c r="A3424" s="29">
        <f t="shared" si="57"/>
        <v>48260</v>
      </c>
      <c r="B3424" s="30">
        <v>586</v>
      </c>
      <c r="C3424" s="30">
        <v>1</v>
      </c>
      <c r="D3424" s="30">
        <v>1817</v>
      </c>
      <c r="E3424">
        <v>12641</v>
      </c>
      <c r="G3424" s="29"/>
      <c r="H3424" t="s">
        <v>1541</v>
      </c>
      <c r="I3424" s="30">
        <v>48260</v>
      </c>
      <c r="J3424" s="30">
        <v>0</v>
      </c>
      <c r="K3424" s="30" t="s">
        <v>872</v>
      </c>
      <c r="L3424" s="43" t="s">
        <v>323</v>
      </c>
      <c r="M3424" s="41" t="s">
        <v>324</v>
      </c>
      <c r="O3424" s="41" t="s">
        <v>325</v>
      </c>
      <c r="P3424" s="41">
        <v>28</v>
      </c>
      <c r="Q3424" s="41">
        <v>5</v>
      </c>
      <c r="R3424" s="41">
        <v>14.5</v>
      </c>
      <c r="S3424" t="s">
        <v>3343</v>
      </c>
      <c r="T3424" t="s">
        <v>881</v>
      </c>
      <c r="V3424" t="s">
        <v>5815</v>
      </c>
      <c r="AH3424" t="s">
        <v>359</v>
      </c>
    </row>
    <row r="3425" spans="1:34" ht="15.75">
      <c r="A3425" s="29">
        <f t="shared" si="57"/>
        <v>1500</v>
      </c>
      <c r="B3425" s="30">
        <v>586</v>
      </c>
      <c r="C3425" s="30"/>
      <c r="D3425" s="30"/>
      <c r="E3425">
        <v>12642</v>
      </c>
      <c r="G3425" s="29"/>
      <c r="H3425" t="s">
        <v>850</v>
      </c>
      <c r="I3425" s="30">
        <v>1500</v>
      </c>
      <c r="J3425" s="30">
        <v>0</v>
      </c>
      <c r="K3425" s="30" t="s">
        <v>872</v>
      </c>
      <c r="L3425" s="43" t="s">
        <v>1351</v>
      </c>
      <c r="P3425" s="41">
        <v>4</v>
      </c>
      <c r="Q3425" s="41">
        <v>11</v>
      </c>
      <c r="R3425" s="41">
        <v>69</v>
      </c>
      <c r="S3425" t="s">
        <v>3321</v>
      </c>
      <c r="AH3425" t="s">
        <v>359</v>
      </c>
    </row>
    <row r="3426" spans="1:34" ht="15.75">
      <c r="A3426" s="29">
        <f t="shared" si="57"/>
        <v>5245</v>
      </c>
      <c r="B3426" s="30">
        <v>586</v>
      </c>
      <c r="C3426" s="30">
        <v>1</v>
      </c>
      <c r="D3426" s="30">
        <v>1817</v>
      </c>
      <c r="E3426">
        <v>12643</v>
      </c>
      <c r="G3426" s="29"/>
      <c r="H3426" t="s">
        <v>1541</v>
      </c>
      <c r="I3426" s="30">
        <v>5245</v>
      </c>
      <c r="J3426" s="30">
        <v>0</v>
      </c>
      <c r="K3426" s="30" t="s">
        <v>873</v>
      </c>
      <c r="L3426" s="43" t="s">
        <v>1349</v>
      </c>
      <c r="P3426" s="41">
        <v>19</v>
      </c>
      <c r="Q3426" s="41">
        <v>8</v>
      </c>
      <c r="R3426" s="41">
        <v>93</v>
      </c>
      <c r="S3426" t="s">
        <v>874</v>
      </c>
      <c r="AH3426" t="s">
        <v>359</v>
      </c>
    </row>
    <row r="3427" spans="1:34" ht="15.75">
      <c r="A3427" s="29">
        <f t="shared" si="57"/>
        <v>529</v>
      </c>
      <c r="B3427" s="30">
        <v>586</v>
      </c>
      <c r="C3427" s="30">
        <v>1</v>
      </c>
      <c r="D3427" s="30">
        <v>1817</v>
      </c>
      <c r="E3427">
        <v>12644</v>
      </c>
      <c r="G3427" s="29"/>
      <c r="H3427" t="s">
        <v>1540</v>
      </c>
      <c r="I3427" s="30">
        <v>529</v>
      </c>
      <c r="J3427" s="30">
        <v>0</v>
      </c>
      <c r="K3427" s="30" t="s">
        <v>873</v>
      </c>
      <c r="L3427" s="43" t="s">
        <v>2687</v>
      </c>
      <c r="P3427" s="41">
        <v>18</v>
      </c>
      <c r="Q3427" s="41">
        <v>4</v>
      </c>
      <c r="R3427" s="41" t="s">
        <v>1547</v>
      </c>
      <c r="S3427" t="s">
        <v>3321</v>
      </c>
      <c r="AH3427" t="s">
        <v>359</v>
      </c>
    </row>
    <row r="3428" spans="1:34" ht="15.75">
      <c r="A3428" s="29">
        <f t="shared" si="57"/>
        <v>40</v>
      </c>
      <c r="B3428" s="30">
        <v>586</v>
      </c>
      <c r="C3428" s="30"/>
      <c r="D3428" s="30"/>
      <c r="E3428">
        <v>12645</v>
      </c>
      <c r="G3428" s="29"/>
      <c r="H3428" t="s">
        <v>1549</v>
      </c>
      <c r="I3428" s="30">
        <v>40</v>
      </c>
      <c r="J3428" s="30">
        <v>0</v>
      </c>
      <c r="K3428" s="30" t="s">
        <v>872</v>
      </c>
      <c r="L3428" s="43" t="s">
        <v>326</v>
      </c>
      <c r="P3428" s="41">
        <v>1</v>
      </c>
      <c r="Q3428" s="41">
        <v>1</v>
      </c>
      <c r="R3428" s="41">
        <v>27</v>
      </c>
      <c r="S3428" t="s">
        <v>1547</v>
      </c>
      <c r="AH3428" t="s">
        <v>359</v>
      </c>
    </row>
    <row r="3429" spans="1:34" ht="15.75">
      <c r="A3429" s="29">
        <f t="shared" si="57"/>
        <v>2433</v>
      </c>
      <c r="B3429" s="30">
        <v>586</v>
      </c>
      <c r="C3429" s="30">
        <v>1</v>
      </c>
      <c r="D3429" s="30">
        <v>1817</v>
      </c>
      <c r="E3429">
        <v>12646</v>
      </c>
      <c r="G3429" s="29"/>
      <c r="H3429" t="s">
        <v>1541</v>
      </c>
      <c r="I3429" s="30">
        <v>2433</v>
      </c>
      <c r="J3429" s="30">
        <v>0</v>
      </c>
      <c r="K3429" s="30" t="s">
        <v>873</v>
      </c>
      <c r="L3429" s="43" t="s">
        <v>1391</v>
      </c>
      <c r="P3429" s="41">
        <v>24</v>
      </c>
      <c r="Q3429" s="41">
        <v>10</v>
      </c>
      <c r="R3429" s="41" t="s">
        <v>1547</v>
      </c>
      <c r="S3429" t="s">
        <v>1547</v>
      </c>
      <c r="AH3429" t="s">
        <v>359</v>
      </c>
    </row>
    <row r="3430" spans="1:34" ht="15.75">
      <c r="A3430" s="29">
        <f t="shared" si="57"/>
        <v>129244</v>
      </c>
      <c r="B3430" s="30">
        <v>586</v>
      </c>
      <c r="C3430" s="30">
        <v>1</v>
      </c>
      <c r="D3430" s="30">
        <v>1817</v>
      </c>
      <c r="E3430">
        <v>12647</v>
      </c>
      <c r="G3430" s="29"/>
      <c r="H3430" t="s">
        <v>1540</v>
      </c>
      <c r="I3430" s="30">
        <f>4384+860</f>
        <v>5244</v>
      </c>
      <c r="J3430" s="30">
        <f>4600+1600</f>
        <v>6200</v>
      </c>
      <c r="K3430" s="30" t="s">
        <v>873</v>
      </c>
      <c r="L3430" s="43" t="s">
        <v>327</v>
      </c>
      <c r="M3430" s="41" t="s">
        <v>1248</v>
      </c>
      <c r="O3430" s="41" t="s">
        <v>328</v>
      </c>
      <c r="P3430" s="41">
        <v>26</v>
      </c>
      <c r="Q3430" s="41">
        <v>7</v>
      </c>
      <c r="R3430" s="41" t="s">
        <v>1547</v>
      </c>
      <c r="S3430" t="s">
        <v>3153</v>
      </c>
      <c r="T3430" t="s">
        <v>1058</v>
      </c>
      <c r="V3430" t="s">
        <v>371</v>
      </c>
      <c r="X3430">
        <v>1</v>
      </c>
      <c r="Y3430" t="s">
        <v>329</v>
      </c>
      <c r="AH3430" t="s">
        <v>359</v>
      </c>
    </row>
    <row r="3431" spans="1:34" ht="15.75">
      <c r="A3431" s="29">
        <f t="shared" si="57"/>
        <v>212</v>
      </c>
      <c r="B3431" s="30">
        <v>586</v>
      </c>
      <c r="C3431" s="30">
        <v>1</v>
      </c>
      <c r="D3431" s="30">
        <v>1817</v>
      </c>
      <c r="E3431">
        <v>12648</v>
      </c>
      <c r="G3431" s="29"/>
      <c r="H3431" t="s">
        <v>1541</v>
      </c>
      <c r="I3431" s="30">
        <v>212</v>
      </c>
      <c r="J3431" s="30">
        <v>0</v>
      </c>
      <c r="K3431" s="30" t="s">
        <v>873</v>
      </c>
      <c r="L3431" s="43" t="s">
        <v>1389</v>
      </c>
      <c r="P3431" s="41">
        <v>16</v>
      </c>
      <c r="Q3431" s="41">
        <v>4</v>
      </c>
      <c r="R3431" s="41">
        <v>79</v>
      </c>
      <c r="S3431" t="s">
        <v>1547</v>
      </c>
      <c r="AH3431" t="s">
        <v>359</v>
      </c>
    </row>
    <row r="3432" spans="1:34" ht="15.75">
      <c r="A3432" s="29">
        <f t="shared" si="57"/>
        <v>975</v>
      </c>
      <c r="B3432" s="30">
        <v>586</v>
      </c>
      <c r="C3432" s="30">
        <v>1</v>
      </c>
      <c r="D3432" s="30">
        <v>1817</v>
      </c>
      <c r="E3432">
        <v>12649</v>
      </c>
      <c r="G3432" s="29"/>
      <c r="H3432" t="s">
        <v>1541</v>
      </c>
      <c r="I3432" s="30">
        <v>975</v>
      </c>
      <c r="J3432" s="30">
        <v>0</v>
      </c>
      <c r="K3432" s="30" t="s">
        <v>873</v>
      </c>
      <c r="L3432" s="43" t="s">
        <v>1389</v>
      </c>
      <c r="P3432" s="41">
        <v>7</v>
      </c>
      <c r="Q3432" s="41">
        <v>6</v>
      </c>
      <c r="R3432" s="41">
        <v>27</v>
      </c>
      <c r="S3432" t="s">
        <v>3321</v>
      </c>
      <c r="AH3432" t="s">
        <v>359</v>
      </c>
    </row>
    <row r="3433" spans="1:34" ht="15.75">
      <c r="A3433" s="29">
        <f t="shared" si="57"/>
        <v>196</v>
      </c>
      <c r="B3433" s="30">
        <v>586</v>
      </c>
      <c r="C3433" s="30">
        <v>1</v>
      </c>
      <c r="D3433" s="30">
        <v>1817</v>
      </c>
      <c r="E3433">
        <v>12650</v>
      </c>
      <c r="G3433" s="29"/>
      <c r="H3433" t="s">
        <v>1540</v>
      </c>
      <c r="I3433" s="30">
        <v>196</v>
      </c>
      <c r="J3433" s="30">
        <v>0</v>
      </c>
      <c r="K3433" s="30" t="s">
        <v>873</v>
      </c>
      <c r="L3433" s="43" t="s">
        <v>1384</v>
      </c>
      <c r="P3433" s="41">
        <v>25</v>
      </c>
      <c r="Q3433" s="41">
        <v>9</v>
      </c>
      <c r="R3433" s="41">
        <v>56</v>
      </c>
      <c r="S3433" t="s">
        <v>3321</v>
      </c>
      <c r="AH3433" t="s">
        <v>359</v>
      </c>
    </row>
    <row r="3434" spans="1:34" ht="15.75">
      <c r="A3434" s="29">
        <f t="shared" si="57"/>
        <v>160</v>
      </c>
      <c r="B3434" s="30">
        <v>587</v>
      </c>
      <c r="C3434" s="30">
        <v>1</v>
      </c>
      <c r="D3434" s="30">
        <v>1817</v>
      </c>
      <c r="E3434">
        <v>12679</v>
      </c>
      <c r="G3434" s="29"/>
      <c r="H3434" t="s">
        <v>1540</v>
      </c>
      <c r="I3434" s="30">
        <v>160</v>
      </c>
      <c r="J3434" s="30">
        <v>0</v>
      </c>
      <c r="K3434" s="30" t="s">
        <v>873</v>
      </c>
      <c r="L3434" s="43" t="s">
        <v>1382</v>
      </c>
      <c r="P3434" s="41">
        <v>19</v>
      </c>
      <c r="Q3434" s="41">
        <v>6</v>
      </c>
      <c r="R3434" s="41">
        <v>64</v>
      </c>
      <c r="S3434" t="s">
        <v>3321</v>
      </c>
      <c r="AH3434" t="s">
        <v>359</v>
      </c>
    </row>
    <row r="3435" spans="1:34" ht="15.75">
      <c r="A3435" s="29">
        <f t="shared" si="57"/>
        <v>21632</v>
      </c>
      <c r="B3435" s="30">
        <v>587</v>
      </c>
      <c r="C3435" s="30">
        <v>1</v>
      </c>
      <c r="D3435" s="30">
        <v>1817</v>
      </c>
      <c r="E3435">
        <v>12680</v>
      </c>
      <c r="G3435" s="29"/>
      <c r="H3435" t="s">
        <v>1541</v>
      </c>
      <c r="I3435" s="30">
        <v>1632</v>
      </c>
      <c r="J3435" s="30">
        <v>2000</v>
      </c>
      <c r="K3435" s="30" t="s">
        <v>873</v>
      </c>
      <c r="L3435" s="43" t="s">
        <v>330</v>
      </c>
      <c r="M3435" s="41" t="s">
        <v>3881</v>
      </c>
      <c r="O3435" s="41" t="s">
        <v>5088</v>
      </c>
      <c r="P3435" s="41">
        <v>13</v>
      </c>
      <c r="Q3435" s="41">
        <v>12</v>
      </c>
      <c r="R3435" s="41" t="s">
        <v>1547</v>
      </c>
      <c r="S3435" t="s">
        <v>331</v>
      </c>
      <c r="T3435" t="s">
        <v>882</v>
      </c>
      <c r="V3435" t="s">
        <v>876</v>
      </c>
      <c r="X3435">
        <v>0.5</v>
      </c>
      <c r="Y3435" t="s">
        <v>5088</v>
      </c>
      <c r="AH3435" t="s">
        <v>359</v>
      </c>
    </row>
    <row r="3436" spans="1:34" ht="15.75">
      <c r="A3436" s="29">
        <f t="shared" si="57"/>
        <v>512</v>
      </c>
      <c r="B3436" s="30">
        <v>587</v>
      </c>
      <c r="C3436" s="30">
        <v>1</v>
      </c>
      <c r="D3436" s="30">
        <v>1817</v>
      </c>
      <c r="E3436">
        <v>12681</v>
      </c>
      <c r="G3436" s="29"/>
      <c r="H3436" t="s">
        <v>1541</v>
      </c>
      <c r="I3436" s="30">
        <v>512</v>
      </c>
      <c r="J3436" s="30">
        <v>0</v>
      </c>
      <c r="K3436" s="30" t="s">
        <v>873</v>
      </c>
      <c r="L3436" s="43" t="s">
        <v>1385</v>
      </c>
      <c r="P3436" s="41">
        <v>12</v>
      </c>
      <c r="Q3436" s="41">
        <v>3</v>
      </c>
      <c r="R3436" s="41">
        <v>72</v>
      </c>
      <c r="S3436" t="s">
        <v>874</v>
      </c>
      <c r="AH3436" t="s">
        <v>359</v>
      </c>
    </row>
    <row r="3437" spans="1:34" ht="15.75">
      <c r="A3437" s="29">
        <f t="shared" si="57"/>
        <v>617</v>
      </c>
      <c r="B3437" s="30">
        <v>587</v>
      </c>
      <c r="C3437" s="30">
        <v>1</v>
      </c>
      <c r="D3437" s="30">
        <v>1817</v>
      </c>
      <c r="E3437">
        <v>12682</v>
      </c>
      <c r="G3437" s="29"/>
      <c r="H3437" t="s">
        <v>1540</v>
      </c>
      <c r="I3437" s="30">
        <v>617</v>
      </c>
      <c r="J3437" s="30">
        <v>0</v>
      </c>
      <c r="K3437" s="30" t="s">
        <v>873</v>
      </c>
      <c r="L3437" s="43" t="s">
        <v>2208</v>
      </c>
      <c r="P3437" s="41">
        <v>12</v>
      </c>
      <c r="Q3437" s="41">
        <v>12</v>
      </c>
      <c r="R3437" s="41">
        <v>75</v>
      </c>
      <c r="S3437" t="s">
        <v>874</v>
      </c>
      <c r="AH3437" t="s">
        <v>359</v>
      </c>
    </row>
    <row r="3438" spans="1:34" ht="15.75">
      <c r="A3438" s="29">
        <f t="shared" si="57"/>
        <v>169</v>
      </c>
      <c r="B3438" s="30">
        <v>587</v>
      </c>
      <c r="C3438" s="30">
        <v>1</v>
      </c>
      <c r="D3438" s="30">
        <v>1817</v>
      </c>
      <c r="E3438">
        <v>12683</v>
      </c>
      <c r="G3438" s="29"/>
      <c r="H3438" t="s">
        <v>1540</v>
      </c>
      <c r="I3438" s="30">
        <v>169</v>
      </c>
      <c r="J3438" s="30">
        <v>0</v>
      </c>
      <c r="K3438" s="30" t="s">
        <v>873</v>
      </c>
      <c r="L3438" s="43" t="s">
        <v>1009</v>
      </c>
      <c r="P3438" s="41">
        <v>10</v>
      </c>
      <c r="Q3438" s="41">
        <v>8</v>
      </c>
      <c r="R3438" s="41" t="s">
        <v>1547</v>
      </c>
      <c r="S3438" t="s">
        <v>3321</v>
      </c>
      <c r="AH3438" t="s">
        <v>359</v>
      </c>
    </row>
    <row r="3439" spans="1:34" ht="15.75">
      <c r="A3439" s="29">
        <f t="shared" si="57"/>
        <v>76789</v>
      </c>
      <c r="B3439" s="30">
        <v>587</v>
      </c>
      <c r="C3439" s="30">
        <v>1</v>
      </c>
      <c r="D3439" s="30">
        <v>1817</v>
      </c>
      <c r="E3439">
        <v>12685</v>
      </c>
      <c r="G3439" s="29"/>
      <c r="H3439" t="s">
        <v>1541</v>
      </c>
      <c r="I3439" s="30">
        <v>11589</v>
      </c>
      <c r="J3439" s="30">
        <v>6520</v>
      </c>
      <c r="K3439" s="30" t="s">
        <v>873</v>
      </c>
      <c r="L3439" s="43" t="s">
        <v>4328</v>
      </c>
      <c r="M3439" s="41" t="s">
        <v>333</v>
      </c>
      <c r="O3439" s="41" t="s">
        <v>334</v>
      </c>
      <c r="P3439" s="41">
        <v>25</v>
      </c>
      <c r="Q3439" s="41">
        <v>2</v>
      </c>
      <c r="R3439" s="41">
        <v>54</v>
      </c>
      <c r="S3439" t="s">
        <v>335</v>
      </c>
      <c r="T3439" t="s">
        <v>336</v>
      </c>
      <c r="V3439" t="s">
        <v>4497</v>
      </c>
      <c r="X3439">
        <v>0.5</v>
      </c>
      <c r="Y3439" t="s">
        <v>5845</v>
      </c>
      <c r="AH3439" t="s">
        <v>359</v>
      </c>
    </row>
    <row r="3440" spans="1:34" ht="15.75">
      <c r="A3440" s="29">
        <f t="shared" si="57"/>
        <v>1450</v>
      </c>
      <c r="B3440" s="30">
        <v>587</v>
      </c>
      <c r="C3440" s="30">
        <v>1</v>
      </c>
      <c r="D3440" s="30">
        <v>1817</v>
      </c>
      <c r="E3440">
        <v>12686</v>
      </c>
      <c r="G3440" s="29"/>
      <c r="H3440" t="s">
        <v>1541</v>
      </c>
      <c r="I3440" s="30">
        <v>1450</v>
      </c>
      <c r="J3440" s="30">
        <v>0</v>
      </c>
      <c r="K3440" s="30" t="s">
        <v>873</v>
      </c>
      <c r="L3440" s="43" t="s">
        <v>1356</v>
      </c>
      <c r="P3440" s="41">
        <v>9</v>
      </c>
      <c r="Q3440" s="41">
        <v>7</v>
      </c>
      <c r="R3440" s="41">
        <v>44</v>
      </c>
      <c r="S3440" t="s">
        <v>3321</v>
      </c>
      <c r="AH3440" t="s">
        <v>359</v>
      </c>
    </row>
    <row r="3441" spans="1:34" ht="15.75">
      <c r="A3441" s="29">
        <f t="shared" si="57"/>
        <v>208</v>
      </c>
      <c r="B3441" s="30">
        <v>587</v>
      </c>
      <c r="C3441" s="30">
        <v>1</v>
      </c>
      <c r="D3441" s="30">
        <v>1817</v>
      </c>
      <c r="E3441">
        <v>12687</v>
      </c>
      <c r="G3441" s="29"/>
      <c r="H3441" t="s">
        <v>1541</v>
      </c>
      <c r="I3441" s="30">
        <v>208</v>
      </c>
      <c r="J3441" s="30">
        <v>0</v>
      </c>
      <c r="K3441" s="30" t="s">
        <v>873</v>
      </c>
      <c r="L3441" s="43" t="s">
        <v>1356</v>
      </c>
      <c r="P3441" s="41">
        <v>5</v>
      </c>
      <c r="Q3441" s="41">
        <v>12</v>
      </c>
      <c r="R3441" s="41">
        <v>45</v>
      </c>
      <c r="S3441" t="s">
        <v>3321</v>
      </c>
      <c r="AH3441" t="s">
        <v>359</v>
      </c>
    </row>
    <row r="3442" spans="1:34" ht="15.75">
      <c r="A3442" s="29">
        <f t="shared" si="57"/>
        <v>30</v>
      </c>
      <c r="B3442" s="30">
        <v>587</v>
      </c>
      <c r="C3442" s="30">
        <v>1</v>
      </c>
      <c r="D3442" s="30">
        <v>1817</v>
      </c>
      <c r="E3442">
        <v>12688</v>
      </c>
      <c r="G3442" s="29"/>
      <c r="H3442" t="s">
        <v>1540</v>
      </c>
      <c r="I3442" s="30">
        <v>30</v>
      </c>
      <c r="J3442" s="30">
        <v>0</v>
      </c>
      <c r="K3442" s="30" t="s">
        <v>873</v>
      </c>
      <c r="L3442" s="43" t="s">
        <v>1357</v>
      </c>
      <c r="P3442" s="41">
        <v>29</v>
      </c>
      <c r="Q3442" s="41">
        <v>4</v>
      </c>
      <c r="R3442" s="41">
        <v>50</v>
      </c>
      <c r="S3442" t="s">
        <v>3321</v>
      </c>
      <c r="AH3442" t="s">
        <v>359</v>
      </c>
    </row>
    <row r="3443" spans="1:34" ht="15.75">
      <c r="A3443" s="29">
        <f t="shared" si="57"/>
        <v>21000</v>
      </c>
      <c r="B3443" s="30">
        <v>587</v>
      </c>
      <c r="C3443" s="30">
        <v>1</v>
      </c>
      <c r="D3443" s="30">
        <v>1817</v>
      </c>
      <c r="E3443">
        <v>12689</v>
      </c>
      <c r="G3443" s="29"/>
      <c r="I3443" s="30">
        <v>0</v>
      </c>
      <c r="J3443" s="30">
        <v>2100</v>
      </c>
      <c r="K3443" s="30" t="s">
        <v>873</v>
      </c>
      <c r="L3443" s="43" t="s">
        <v>337</v>
      </c>
      <c r="M3443" s="41" t="s">
        <v>338</v>
      </c>
      <c r="O3443" s="41" t="s">
        <v>339</v>
      </c>
      <c r="P3443" s="41">
        <v>7</v>
      </c>
      <c r="Q3443" s="41">
        <v>6</v>
      </c>
      <c r="R3443" s="41" t="s">
        <v>1547</v>
      </c>
      <c r="S3443" t="s">
        <v>340</v>
      </c>
      <c r="T3443" t="s">
        <v>3442</v>
      </c>
      <c r="V3443" t="s">
        <v>5902</v>
      </c>
      <c r="X3443">
        <v>0.5</v>
      </c>
      <c r="Y3443" t="s">
        <v>341</v>
      </c>
      <c r="AH3443" t="s">
        <v>359</v>
      </c>
    </row>
    <row r="3444" spans="1:34" ht="15.75">
      <c r="A3444" s="29">
        <f t="shared" si="57"/>
        <v>23767</v>
      </c>
      <c r="B3444" s="31">
        <v>588</v>
      </c>
      <c r="C3444" s="31">
        <v>1</v>
      </c>
      <c r="D3444" s="31">
        <v>1817</v>
      </c>
      <c r="E3444">
        <v>12713</v>
      </c>
      <c r="F3444" s="9"/>
      <c r="G3444" s="32"/>
      <c r="H3444" s="9" t="s">
        <v>1541</v>
      </c>
      <c r="I3444" s="31">
        <v>23767</v>
      </c>
      <c r="J3444" s="31">
        <v>0</v>
      </c>
      <c r="K3444" s="30" t="s">
        <v>874</v>
      </c>
      <c r="L3444" s="43" t="s">
        <v>342</v>
      </c>
      <c r="M3444" s="43" t="s">
        <v>343</v>
      </c>
      <c r="N3444" s="43"/>
      <c r="O3444" s="41" t="s">
        <v>344</v>
      </c>
      <c r="P3444" s="41">
        <v>26</v>
      </c>
      <c r="Q3444" s="41">
        <v>10</v>
      </c>
      <c r="R3444" s="41">
        <v>64</v>
      </c>
      <c r="S3444" t="s">
        <v>345</v>
      </c>
      <c r="T3444" t="s">
        <v>4645</v>
      </c>
      <c r="V3444" t="s">
        <v>346</v>
      </c>
      <c r="AH3444" t="s">
        <v>359</v>
      </c>
    </row>
    <row r="3445" spans="1:34" ht="15.75">
      <c r="A3445" s="29">
        <f t="shared" si="57"/>
        <v>32</v>
      </c>
      <c r="B3445" s="30">
        <v>588</v>
      </c>
      <c r="C3445" s="30">
        <v>1</v>
      </c>
      <c r="D3445" s="30">
        <v>1817</v>
      </c>
      <c r="E3445">
        <v>12714</v>
      </c>
      <c r="G3445" s="29"/>
      <c r="H3445" t="s">
        <v>1540</v>
      </c>
      <c r="I3445" s="30">
        <v>32</v>
      </c>
      <c r="J3445" s="30">
        <v>0</v>
      </c>
      <c r="K3445" s="30" t="s">
        <v>874</v>
      </c>
      <c r="L3445" s="43" t="s">
        <v>5772</v>
      </c>
      <c r="P3445" s="41">
        <v>13</v>
      </c>
      <c r="Q3445" s="41">
        <v>3</v>
      </c>
      <c r="R3445" s="41">
        <v>38</v>
      </c>
      <c r="S3445" t="s">
        <v>3321</v>
      </c>
      <c r="AH3445" t="s">
        <v>359</v>
      </c>
    </row>
    <row r="3446" spans="1:34" ht="15.75">
      <c r="A3446" s="29">
        <f t="shared" si="57"/>
        <v>100</v>
      </c>
      <c r="B3446" s="30">
        <v>588</v>
      </c>
      <c r="C3446" s="30">
        <v>1</v>
      </c>
      <c r="D3446" s="30">
        <v>1817</v>
      </c>
      <c r="E3446">
        <v>12715</v>
      </c>
      <c r="G3446" s="29"/>
      <c r="H3446" t="s">
        <v>1541</v>
      </c>
      <c r="I3446" s="30">
        <v>100</v>
      </c>
      <c r="J3446" s="30">
        <v>0</v>
      </c>
      <c r="K3446" s="30" t="s">
        <v>874</v>
      </c>
      <c r="L3446" s="43" t="s">
        <v>4244</v>
      </c>
      <c r="P3446" s="41">
        <v>1</v>
      </c>
      <c r="Q3446" s="41">
        <v>2</v>
      </c>
      <c r="R3446" s="41">
        <v>54</v>
      </c>
      <c r="S3446" t="s">
        <v>3321</v>
      </c>
      <c r="AH3446" t="s">
        <v>359</v>
      </c>
    </row>
    <row r="3447" spans="1:34" ht="15.75">
      <c r="A3447" s="29">
        <f t="shared" si="57"/>
        <v>358</v>
      </c>
      <c r="B3447" s="30">
        <v>588</v>
      </c>
      <c r="C3447" s="30">
        <v>1</v>
      </c>
      <c r="D3447" s="30">
        <v>1817</v>
      </c>
      <c r="E3447">
        <v>12716</v>
      </c>
      <c r="G3447" s="29"/>
      <c r="H3447" t="s">
        <v>1541</v>
      </c>
      <c r="I3447" s="30">
        <v>358</v>
      </c>
      <c r="J3447" s="30">
        <v>0</v>
      </c>
      <c r="K3447" s="30" t="s">
        <v>874</v>
      </c>
      <c r="L3447" s="43" t="s">
        <v>347</v>
      </c>
      <c r="P3447" s="41">
        <v>10</v>
      </c>
      <c r="Q3447" s="41">
        <v>3</v>
      </c>
      <c r="R3447" s="41" t="s">
        <v>1547</v>
      </c>
      <c r="S3447" t="s">
        <v>1547</v>
      </c>
      <c r="AH3447" t="s">
        <v>359</v>
      </c>
    </row>
    <row r="3448" spans="1:34" ht="15.75">
      <c r="A3448" s="29">
        <f t="shared" si="57"/>
        <v>191</v>
      </c>
      <c r="B3448" s="30">
        <v>588</v>
      </c>
      <c r="C3448" s="30">
        <v>1</v>
      </c>
      <c r="D3448" s="30">
        <v>1817</v>
      </c>
      <c r="E3448">
        <v>12717</v>
      </c>
      <c r="G3448" s="29"/>
      <c r="H3448" t="s">
        <v>1541</v>
      </c>
      <c r="I3448" s="30">
        <v>191</v>
      </c>
      <c r="J3448" s="30">
        <v>0</v>
      </c>
      <c r="K3448" s="30" t="s">
        <v>874</v>
      </c>
      <c r="L3448" s="43" t="s">
        <v>4249</v>
      </c>
      <c r="P3448" s="41">
        <v>27</v>
      </c>
      <c r="Q3448" s="41">
        <v>4</v>
      </c>
      <c r="R3448" s="41">
        <v>40</v>
      </c>
      <c r="S3448" t="s">
        <v>3321</v>
      </c>
      <c r="AH3448" t="s">
        <v>359</v>
      </c>
    </row>
    <row r="3449" spans="1:34" ht="15.75">
      <c r="A3449" s="29">
        <f t="shared" si="57"/>
        <v>215</v>
      </c>
      <c r="B3449" s="30">
        <v>588</v>
      </c>
      <c r="C3449" s="30">
        <v>1</v>
      </c>
      <c r="D3449" s="30">
        <v>1817</v>
      </c>
      <c r="E3449">
        <v>12718</v>
      </c>
      <c r="G3449" s="29"/>
      <c r="H3449" t="s">
        <v>1541</v>
      </c>
      <c r="I3449" s="30">
        <v>215</v>
      </c>
      <c r="J3449" s="30">
        <v>0</v>
      </c>
      <c r="K3449" s="30" t="s">
        <v>874</v>
      </c>
      <c r="L3449" s="43" t="s">
        <v>4249</v>
      </c>
      <c r="P3449" s="41">
        <v>9</v>
      </c>
      <c r="Q3449" s="41">
        <v>5</v>
      </c>
      <c r="R3449" s="41" t="s">
        <v>1547</v>
      </c>
      <c r="S3449" t="s">
        <v>874</v>
      </c>
      <c r="AH3449" t="s">
        <v>359</v>
      </c>
    </row>
    <row r="3450" spans="1:34" ht="15.75">
      <c r="A3450" s="29">
        <f t="shared" si="57"/>
        <v>183</v>
      </c>
      <c r="B3450" s="30">
        <v>588</v>
      </c>
      <c r="C3450" s="30">
        <v>1</v>
      </c>
      <c r="D3450" s="30">
        <v>1817</v>
      </c>
      <c r="E3450">
        <v>12719</v>
      </c>
      <c r="G3450" s="29"/>
      <c r="H3450" t="s">
        <v>1541</v>
      </c>
      <c r="I3450" s="30">
        <v>183</v>
      </c>
      <c r="J3450" s="30">
        <v>0</v>
      </c>
      <c r="K3450" s="30" t="s">
        <v>874</v>
      </c>
      <c r="L3450" s="43" t="s">
        <v>1393</v>
      </c>
      <c r="P3450" s="41">
        <v>29</v>
      </c>
      <c r="Q3450" s="41">
        <v>5</v>
      </c>
      <c r="R3450" s="41">
        <v>51</v>
      </c>
      <c r="S3450" t="s">
        <v>3321</v>
      </c>
      <c r="AH3450" t="s">
        <v>359</v>
      </c>
    </row>
    <row r="3451" spans="1:34" ht="15.75">
      <c r="A3451" s="29">
        <f t="shared" si="57"/>
        <v>90</v>
      </c>
      <c r="B3451" s="30">
        <v>588</v>
      </c>
      <c r="C3451" s="30">
        <v>1</v>
      </c>
      <c r="D3451" s="30">
        <v>1817</v>
      </c>
      <c r="E3451">
        <v>12720</v>
      </c>
      <c r="G3451" s="29"/>
      <c r="H3451" t="s">
        <v>1541</v>
      </c>
      <c r="I3451" s="30">
        <v>90</v>
      </c>
      <c r="J3451" s="30">
        <v>0</v>
      </c>
      <c r="K3451" s="30" t="s">
        <v>874</v>
      </c>
      <c r="L3451" s="43" t="s">
        <v>1393</v>
      </c>
      <c r="P3451" s="41">
        <v>22</v>
      </c>
      <c r="Q3451" s="41">
        <v>6</v>
      </c>
      <c r="R3451" s="41">
        <v>55</v>
      </c>
      <c r="S3451" t="s">
        <v>3321</v>
      </c>
      <c r="AH3451" t="s">
        <v>359</v>
      </c>
    </row>
    <row r="3452" spans="1:34" ht="15.75">
      <c r="A3452" s="29">
        <f t="shared" si="57"/>
        <v>715</v>
      </c>
      <c r="B3452" s="30">
        <v>588</v>
      </c>
      <c r="C3452" s="30">
        <v>1</v>
      </c>
      <c r="D3452" s="30">
        <v>1817</v>
      </c>
      <c r="E3452">
        <v>12722</v>
      </c>
      <c r="G3452" s="29"/>
      <c r="H3452" t="s">
        <v>1541</v>
      </c>
      <c r="I3452" s="30">
        <v>715</v>
      </c>
      <c r="J3452" s="30">
        <v>0</v>
      </c>
      <c r="K3452" s="30" t="s">
        <v>874</v>
      </c>
      <c r="L3452" s="43" t="s">
        <v>348</v>
      </c>
      <c r="P3452" s="41">
        <v>22</v>
      </c>
      <c r="Q3452" s="41">
        <v>5</v>
      </c>
      <c r="R3452" s="41">
        <v>82</v>
      </c>
      <c r="S3452" t="s">
        <v>3321</v>
      </c>
      <c r="AH3452" t="s">
        <v>359</v>
      </c>
    </row>
    <row r="3453" spans="1:34" ht="15.75">
      <c r="A3453" s="29">
        <f t="shared" si="57"/>
        <v>3294</v>
      </c>
      <c r="B3453" s="30">
        <v>589</v>
      </c>
      <c r="C3453" s="30">
        <v>1</v>
      </c>
      <c r="D3453" s="30">
        <v>1827</v>
      </c>
      <c r="E3453">
        <v>12739</v>
      </c>
      <c r="H3453" s="30" t="s">
        <v>1541</v>
      </c>
      <c r="I3453" s="30">
        <v>3294</v>
      </c>
      <c r="J3453" s="30">
        <v>0</v>
      </c>
      <c r="K3453" s="30" t="s">
        <v>874</v>
      </c>
      <c r="L3453" s="43" t="s">
        <v>5798</v>
      </c>
      <c r="P3453" s="41">
        <v>3</v>
      </c>
      <c r="Q3453" s="41">
        <v>9</v>
      </c>
      <c r="R3453" s="41" t="s">
        <v>1547</v>
      </c>
      <c r="S3453" t="s">
        <v>3321</v>
      </c>
      <c r="AH3453" t="s">
        <v>359</v>
      </c>
    </row>
    <row r="3454" spans="1:34" ht="15.75">
      <c r="A3454" s="51">
        <f t="shared" si="57"/>
        <v>146</v>
      </c>
      <c r="B3454" s="30">
        <v>589</v>
      </c>
      <c r="C3454" s="30">
        <v>1</v>
      </c>
      <c r="D3454" s="30">
        <v>1817</v>
      </c>
      <c r="E3454">
        <v>12740</v>
      </c>
      <c r="G3454" s="29"/>
      <c r="H3454" t="s">
        <v>1541</v>
      </c>
      <c r="I3454" s="30">
        <v>146</v>
      </c>
      <c r="J3454" s="30">
        <v>0</v>
      </c>
      <c r="K3454" s="30" t="s">
        <v>874</v>
      </c>
      <c r="L3454" s="43" t="s">
        <v>5799</v>
      </c>
      <c r="P3454" s="41">
        <v>30</v>
      </c>
      <c r="Q3454" s="41">
        <v>10</v>
      </c>
      <c r="R3454" s="41">
        <v>83</v>
      </c>
      <c r="S3454" t="s">
        <v>874</v>
      </c>
      <c r="AH3454" t="s">
        <v>359</v>
      </c>
    </row>
    <row r="3455" spans="1:34" ht="15.75">
      <c r="A3455" s="51">
        <f t="shared" si="57"/>
        <v>271</v>
      </c>
      <c r="B3455" s="30">
        <v>589</v>
      </c>
      <c r="C3455" s="30">
        <v>1</v>
      </c>
      <c r="D3455" s="30">
        <v>1817</v>
      </c>
      <c r="E3455">
        <v>12741</v>
      </c>
      <c r="G3455" s="29"/>
      <c r="H3455" t="s">
        <v>1540</v>
      </c>
      <c r="I3455" s="30">
        <v>271</v>
      </c>
      <c r="J3455" s="30">
        <v>0</v>
      </c>
      <c r="K3455" s="30" t="s">
        <v>874</v>
      </c>
      <c r="AH3455" t="s">
        <v>359</v>
      </c>
    </row>
    <row r="3456" spans="1:34" ht="15.75">
      <c r="A3456" s="51">
        <f t="shared" si="57"/>
        <v>88</v>
      </c>
      <c r="B3456" s="30">
        <v>589</v>
      </c>
      <c r="C3456" s="30">
        <v>1</v>
      </c>
      <c r="D3456" s="30">
        <v>1817</v>
      </c>
      <c r="E3456">
        <v>12743</v>
      </c>
      <c r="G3456" s="29"/>
      <c r="H3456" t="s">
        <v>1540</v>
      </c>
      <c r="I3456" s="30">
        <v>88</v>
      </c>
      <c r="J3456" s="30">
        <v>0</v>
      </c>
      <c r="K3456" s="30" t="s">
        <v>874</v>
      </c>
      <c r="L3456" s="43" t="s">
        <v>351</v>
      </c>
      <c r="P3456" s="41">
        <v>1</v>
      </c>
      <c r="Q3456" s="41">
        <v>10</v>
      </c>
      <c r="R3456" s="41" t="s">
        <v>1547</v>
      </c>
      <c r="S3456" t="s">
        <v>3321</v>
      </c>
      <c r="AH3456" t="s">
        <v>359</v>
      </c>
    </row>
    <row r="3457" spans="1:22" ht="12.75">
      <c r="A3457" s="51">
        <f t="shared" si="57"/>
        <v>99</v>
      </c>
      <c r="B3457">
        <v>842</v>
      </c>
      <c r="C3457">
        <v>6</v>
      </c>
      <c r="D3457">
        <v>1817</v>
      </c>
      <c r="E3457">
        <v>12746</v>
      </c>
      <c r="H3457" t="s">
        <v>1549</v>
      </c>
      <c r="I3457">
        <v>99</v>
      </c>
      <c r="J3457">
        <v>0</v>
      </c>
      <c r="K3457" t="s">
        <v>864</v>
      </c>
      <c r="L3457" t="s">
        <v>965</v>
      </c>
      <c r="M3457"/>
      <c r="N3457"/>
      <c r="O3457"/>
      <c r="P3457">
        <v>1</v>
      </c>
      <c r="Q3457">
        <v>5</v>
      </c>
      <c r="R3457">
        <v>65</v>
      </c>
      <c r="S3457" t="s">
        <v>867</v>
      </c>
      <c r="V3457" s="49" t="s">
        <v>448</v>
      </c>
    </row>
    <row r="3458" spans="1:27" ht="12.75">
      <c r="A3458" s="51">
        <f t="shared" si="57"/>
        <v>99</v>
      </c>
      <c r="B3458">
        <v>842</v>
      </c>
      <c r="C3458">
        <v>6</v>
      </c>
      <c r="D3458">
        <v>1817</v>
      </c>
      <c r="E3458">
        <v>12747</v>
      </c>
      <c r="H3458" t="s">
        <v>850</v>
      </c>
      <c r="I3458">
        <v>99</v>
      </c>
      <c r="J3458">
        <v>0</v>
      </c>
      <c r="K3458" t="s">
        <v>864</v>
      </c>
      <c r="L3458" t="s">
        <v>965</v>
      </c>
      <c r="M3458"/>
      <c r="N3458"/>
      <c r="O3458"/>
      <c r="P3458">
        <v>12</v>
      </c>
      <c r="Q3458">
        <v>6</v>
      </c>
      <c r="R3458">
        <v>64</v>
      </c>
      <c r="S3458" t="s">
        <v>867</v>
      </c>
      <c r="V3458" s="49" t="s">
        <v>454</v>
      </c>
      <c r="AA3458" s="49" t="s">
        <v>448</v>
      </c>
    </row>
    <row r="3459" spans="1:22" ht="12.75">
      <c r="A3459" s="51">
        <f t="shared" si="57"/>
        <v>420</v>
      </c>
      <c r="B3459">
        <v>842</v>
      </c>
      <c r="C3459">
        <v>6</v>
      </c>
      <c r="D3459">
        <v>1817</v>
      </c>
      <c r="E3459">
        <v>12748</v>
      </c>
      <c r="H3459" t="s">
        <v>1549</v>
      </c>
      <c r="I3459">
        <v>420</v>
      </c>
      <c r="K3459" t="s">
        <v>864</v>
      </c>
      <c r="L3459" t="s">
        <v>970</v>
      </c>
      <c r="M3459"/>
      <c r="N3459"/>
      <c r="O3459"/>
      <c r="P3459">
        <v>30</v>
      </c>
      <c r="Q3459">
        <v>4</v>
      </c>
      <c r="R3459">
        <v>75</v>
      </c>
      <c r="S3459" t="s">
        <v>1547</v>
      </c>
      <c r="V3459" s="49" t="s">
        <v>465</v>
      </c>
    </row>
    <row r="3460" spans="1:34" ht="12.75">
      <c r="A3460" s="51">
        <f t="shared" si="57"/>
        <v>74366</v>
      </c>
      <c r="B3460">
        <v>843</v>
      </c>
      <c r="C3460">
        <v>6</v>
      </c>
      <c r="D3460">
        <v>1817</v>
      </c>
      <c r="E3460">
        <v>12749</v>
      </c>
      <c r="H3460" t="s">
        <v>1549</v>
      </c>
      <c r="I3460">
        <v>74366</v>
      </c>
      <c r="J3460">
        <v>0</v>
      </c>
      <c r="K3460" t="s">
        <v>864</v>
      </c>
      <c r="L3460" t="s">
        <v>456</v>
      </c>
      <c r="M3460" t="s">
        <v>457</v>
      </c>
      <c r="N3460" t="s">
        <v>458</v>
      </c>
      <c r="O3460" t="s">
        <v>459</v>
      </c>
      <c r="P3460">
        <v>29</v>
      </c>
      <c r="Q3460">
        <v>8</v>
      </c>
      <c r="R3460">
        <v>58</v>
      </c>
      <c r="S3460" t="s">
        <v>1547</v>
      </c>
      <c r="T3460" t="s">
        <v>460</v>
      </c>
      <c r="V3460" s="49" t="s">
        <v>461</v>
      </c>
      <c r="AH3460" t="s">
        <v>462</v>
      </c>
    </row>
    <row r="3461" spans="1:22" ht="12.75">
      <c r="A3461" s="51">
        <v>0</v>
      </c>
      <c r="B3461">
        <v>843</v>
      </c>
      <c r="C3461">
        <v>6</v>
      </c>
      <c r="D3461">
        <v>1817</v>
      </c>
      <c r="E3461">
        <v>12750</v>
      </c>
      <c r="H3461" t="s">
        <v>850</v>
      </c>
      <c r="I3461">
        <v>33515</v>
      </c>
      <c r="K3461" t="s">
        <v>864</v>
      </c>
      <c r="L3461" t="s">
        <v>487</v>
      </c>
      <c r="M3461" t="s">
        <v>488</v>
      </c>
      <c r="N3461"/>
      <c r="O3461" t="s">
        <v>489</v>
      </c>
      <c r="P3461">
        <v>22</v>
      </c>
      <c r="Q3461">
        <v>2</v>
      </c>
      <c r="R3461">
        <v>27</v>
      </c>
      <c r="S3461" t="s">
        <v>867</v>
      </c>
      <c r="T3461" t="s">
        <v>490</v>
      </c>
      <c r="V3461" s="49" t="s">
        <v>491</v>
      </c>
    </row>
    <row r="3462" spans="1:22" ht="12.75">
      <c r="A3462" s="51">
        <v>0</v>
      </c>
      <c r="B3462">
        <v>843</v>
      </c>
      <c r="C3462">
        <v>6</v>
      </c>
      <c r="D3462">
        <v>1817</v>
      </c>
      <c r="E3462">
        <v>12751</v>
      </c>
      <c r="H3462" t="s">
        <v>850</v>
      </c>
      <c r="I3462">
        <v>1474</v>
      </c>
      <c r="K3462" t="s">
        <v>864</v>
      </c>
      <c r="L3462" t="s">
        <v>495</v>
      </c>
      <c r="M3462"/>
      <c r="N3462" t="s">
        <v>496</v>
      </c>
      <c r="O3462"/>
      <c r="P3462">
        <v>19</v>
      </c>
      <c r="Q3462">
        <v>3</v>
      </c>
      <c r="R3462">
        <v>76</v>
      </c>
      <c r="S3462" t="s">
        <v>1547</v>
      </c>
      <c r="V3462" s="49" t="s">
        <v>497</v>
      </c>
    </row>
    <row r="3463" spans="1:27" ht="12.75">
      <c r="A3463" s="51">
        <f>I3463+J3463*20*X3463</f>
        <v>11326</v>
      </c>
      <c r="B3463">
        <v>842</v>
      </c>
      <c r="C3463">
        <v>6</v>
      </c>
      <c r="D3463">
        <v>1817</v>
      </c>
      <c r="E3463">
        <v>12752</v>
      </c>
      <c r="H3463" t="s">
        <v>850</v>
      </c>
      <c r="I3463">
        <v>11326</v>
      </c>
      <c r="K3463" t="s">
        <v>864</v>
      </c>
      <c r="L3463" t="s">
        <v>5719</v>
      </c>
      <c r="M3463"/>
      <c r="N3463"/>
      <c r="O3463"/>
      <c r="P3463">
        <v>20</v>
      </c>
      <c r="Q3463">
        <v>2</v>
      </c>
      <c r="R3463">
        <v>49</v>
      </c>
      <c r="S3463" t="s">
        <v>3329</v>
      </c>
      <c r="V3463" s="49" t="s">
        <v>473</v>
      </c>
      <c r="AA3463" t="s">
        <v>474</v>
      </c>
    </row>
    <row r="3464" spans="1:22" ht="12.75">
      <c r="A3464" s="51">
        <f>I3464+J3464*20*X3464</f>
        <v>730</v>
      </c>
      <c r="B3464">
        <v>842</v>
      </c>
      <c r="C3464">
        <v>6</v>
      </c>
      <c r="D3464">
        <v>1817</v>
      </c>
      <c r="E3464">
        <v>12753</v>
      </c>
      <c r="H3464" t="s">
        <v>850</v>
      </c>
      <c r="I3464">
        <v>730</v>
      </c>
      <c r="K3464" t="s">
        <v>864</v>
      </c>
      <c r="L3464" t="s">
        <v>5719</v>
      </c>
      <c r="M3464"/>
      <c r="N3464"/>
      <c r="O3464"/>
      <c r="P3464">
        <v>8</v>
      </c>
      <c r="Q3464">
        <v>4</v>
      </c>
      <c r="R3464" t="s">
        <v>868</v>
      </c>
      <c r="S3464" t="s">
        <v>1547</v>
      </c>
      <c r="V3464" s="49" t="s">
        <v>473</v>
      </c>
    </row>
    <row r="3465" spans="1:22" ht="12.75">
      <c r="A3465" s="51" t="e">
        <f>I3465+J3465*20*X3465</f>
        <v>#VALUE!</v>
      </c>
      <c r="B3465">
        <v>842</v>
      </c>
      <c r="C3465">
        <v>6</v>
      </c>
      <c r="D3465">
        <v>1817</v>
      </c>
      <c r="E3465">
        <v>12754</v>
      </c>
      <c r="H3465" t="s">
        <v>850</v>
      </c>
      <c r="I3465" t="s">
        <v>463</v>
      </c>
      <c r="K3465" t="s">
        <v>864</v>
      </c>
      <c r="L3465" t="s">
        <v>5719</v>
      </c>
      <c r="M3465"/>
      <c r="N3465"/>
      <c r="O3465"/>
      <c r="P3465">
        <v>14</v>
      </c>
      <c r="Q3465">
        <v>4</v>
      </c>
      <c r="R3465">
        <v>34</v>
      </c>
      <c r="S3465" t="s">
        <v>1547</v>
      </c>
      <c r="V3465" s="49" t="s">
        <v>475</v>
      </c>
    </row>
    <row r="3466" spans="1:22" ht="12.75">
      <c r="A3466" s="51">
        <f>I3466+J3466*20*X3466</f>
        <v>2567</v>
      </c>
      <c r="B3466">
        <v>842</v>
      </c>
      <c r="C3466">
        <v>6</v>
      </c>
      <c r="D3466">
        <v>1817</v>
      </c>
      <c r="E3466">
        <v>12755</v>
      </c>
      <c r="H3466" t="s">
        <v>850</v>
      </c>
      <c r="I3466">
        <v>2567</v>
      </c>
      <c r="K3466" t="s">
        <v>864</v>
      </c>
      <c r="L3466" t="s">
        <v>5719</v>
      </c>
      <c r="M3466"/>
      <c r="N3466"/>
      <c r="O3466"/>
      <c r="P3466">
        <v>28</v>
      </c>
      <c r="Q3466">
        <v>4</v>
      </c>
      <c r="R3466" t="s">
        <v>868</v>
      </c>
      <c r="S3466" t="s">
        <v>3329</v>
      </c>
      <c r="V3466" s="49" t="s">
        <v>476</v>
      </c>
    </row>
    <row r="3467" spans="1:22" ht="12.75">
      <c r="A3467" s="51">
        <v>0</v>
      </c>
      <c r="B3467">
        <v>842</v>
      </c>
      <c r="C3467">
        <v>6</v>
      </c>
      <c r="D3467">
        <v>1817</v>
      </c>
      <c r="E3467">
        <v>12756</v>
      </c>
      <c r="H3467" t="s">
        <v>850</v>
      </c>
      <c r="I3467">
        <v>60500</v>
      </c>
      <c r="K3467" t="s">
        <v>864</v>
      </c>
      <c r="L3467" t="s">
        <v>468</v>
      </c>
      <c r="M3467" t="s">
        <v>469</v>
      </c>
      <c r="N3467" t="s">
        <v>470</v>
      </c>
      <c r="O3467" t="s">
        <v>471</v>
      </c>
      <c r="P3467">
        <v>31</v>
      </c>
      <c r="Q3467">
        <v>3</v>
      </c>
      <c r="R3467" t="s">
        <v>868</v>
      </c>
      <c r="S3467" t="s">
        <v>3343</v>
      </c>
      <c r="T3467" t="s">
        <v>1310</v>
      </c>
      <c r="V3467" s="49" t="s">
        <v>472</v>
      </c>
    </row>
    <row r="3468" spans="1:22" ht="12.75">
      <c r="A3468" s="51">
        <f aca="true" t="shared" si="58" ref="A3468:A3483">I3468+J3468*20*X3468</f>
        <v>335</v>
      </c>
      <c r="B3468">
        <v>843</v>
      </c>
      <c r="C3468">
        <v>6</v>
      </c>
      <c r="D3468">
        <v>1817</v>
      </c>
      <c r="E3468">
        <v>12758</v>
      </c>
      <c r="H3468" t="s">
        <v>1549</v>
      </c>
      <c r="I3468">
        <v>335</v>
      </c>
      <c r="J3468">
        <v>0</v>
      </c>
      <c r="K3468" t="s">
        <v>864</v>
      </c>
      <c r="L3468" t="s">
        <v>5233</v>
      </c>
      <c r="M3468"/>
      <c r="N3468"/>
      <c r="O3468"/>
      <c r="P3468">
        <v>19</v>
      </c>
      <c r="Q3468">
        <v>4</v>
      </c>
      <c r="R3468">
        <v>54</v>
      </c>
      <c r="S3468" t="s">
        <v>1547</v>
      </c>
      <c r="V3468" s="49" t="s">
        <v>455</v>
      </c>
    </row>
    <row r="3469" spans="1:22" ht="12.75">
      <c r="A3469" s="51">
        <f t="shared" si="58"/>
        <v>152</v>
      </c>
      <c r="B3469">
        <v>843</v>
      </c>
      <c r="C3469">
        <v>6</v>
      </c>
      <c r="D3469">
        <v>1817</v>
      </c>
      <c r="E3469">
        <v>12760</v>
      </c>
      <c r="H3469" t="s">
        <v>850</v>
      </c>
      <c r="I3469">
        <v>152</v>
      </c>
      <c r="K3469" t="s">
        <v>864</v>
      </c>
      <c r="L3469" t="s">
        <v>1793</v>
      </c>
      <c r="M3469"/>
      <c r="N3469"/>
      <c r="O3469"/>
      <c r="P3469">
        <v>10</v>
      </c>
      <c r="Q3469">
        <v>6</v>
      </c>
      <c r="R3469">
        <v>64</v>
      </c>
      <c r="S3469" t="s">
        <v>867</v>
      </c>
      <c r="V3469" s="49" t="s">
        <v>466</v>
      </c>
    </row>
    <row r="3470" spans="1:22" ht="12.75">
      <c r="A3470" s="51">
        <f t="shared" si="58"/>
        <v>3309</v>
      </c>
      <c r="B3470">
        <v>843</v>
      </c>
      <c r="C3470">
        <v>6</v>
      </c>
      <c r="D3470">
        <v>1817</v>
      </c>
      <c r="E3470">
        <v>12761</v>
      </c>
      <c r="H3470" t="s">
        <v>850</v>
      </c>
      <c r="I3470">
        <v>3309</v>
      </c>
      <c r="K3470" t="s">
        <v>864</v>
      </c>
      <c r="L3470" t="s">
        <v>1793</v>
      </c>
      <c r="M3470"/>
      <c r="N3470"/>
      <c r="O3470"/>
      <c r="P3470">
        <v>11</v>
      </c>
      <c r="Q3470">
        <v>7</v>
      </c>
      <c r="R3470">
        <v>56</v>
      </c>
      <c r="S3470" t="s">
        <v>3329</v>
      </c>
      <c r="V3470" s="49" t="s">
        <v>467</v>
      </c>
    </row>
    <row r="3471" spans="1:22" ht="12.75">
      <c r="A3471" s="51">
        <f t="shared" si="58"/>
        <v>21403</v>
      </c>
      <c r="B3471">
        <v>843</v>
      </c>
      <c r="C3471">
        <v>6</v>
      </c>
      <c r="D3471">
        <v>1817</v>
      </c>
      <c r="E3471">
        <v>12762</v>
      </c>
      <c r="H3471" t="s">
        <v>850</v>
      </c>
      <c r="I3471">
        <v>21403</v>
      </c>
      <c r="K3471" t="s">
        <v>864</v>
      </c>
      <c r="L3471" t="s">
        <v>477</v>
      </c>
      <c r="M3471" t="s">
        <v>478</v>
      </c>
      <c r="N3471"/>
      <c r="O3471" t="s">
        <v>479</v>
      </c>
      <c r="P3471">
        <v>24</v>
      </c>
      <c r="Q3471">
        <v>2</v>
      </c>
      <c r="R3471">
        <v>78</v>
      </c>
      <c r="S3471" t="s">
        <v>3329</v>
      </c>
      <c r="T3471" t="s">
        <v>480</v>
      </c>
      <c r="V3471" s="49" t="s">
        <v>481</v>
      </c>
    </row>
    <row r="3472" spans="1:22" ht="12.75">
      <c r="A3472" s="51">
        <f t="shared" si="58"/>
        <v>145352</v>
      </c>
      <c r="B3472">
        <v>843</v>
      </c>
      <c r="C3472">
        <v>6</v>
      </c>
      <c r="D3472">
        <v>1817</v>
      </c>
      <c r="E3472">
        <v>12763</v>
      </c>
      <c r="H3472" t="s">
        <v>1549</v>
      </c>
      <c r="I3472">
        <v>145352</v>
      </c>
      <c r="J3472">
        <v>0</v>
      </c>
      <c r="K3472" t="s">
        <v>864</v>
      </c>
      <c r="L3472" t="s">
        <v>482</v>
      </c>
      <c r="M3472" t="s">
        <v>483</v>
      </c>
      <c r="N3472" t="s">
        <v>484</v>
      </c>
      <c r="O3472" t="s">
        <v>485</v>
      </c>
      <c r="P3472">
        <v>13</v>
      </c>
      <c r="Q3472">
        <v>3</v>
      </c>
      <c r="R3472" t="s">
        <v>868</v>
      </c>
      <c r="S3472" t="s">
        <v>1547</v>
      </c>
      <c r="T3472" t="s">
        <v>460</v>
      </c>
      <c r="V3472" s="49" t="s">
        <v>486</v>
      </c>
    </row>
    <row r="3473" spans="1:22" ht="12.75">
      <c r="A3473" s="51">
        <f t="shared" si="58"/>
        <v>629</v>
      </c>
      <c r="B3473">
        <v>843</v>
      </c>
      <c r="C3473">
        <v>6</v>
      </c>
      <c r="D3473">
        <v>1817</v>
      </c>
      <c r="E3473">
        <v>12765</v>
      </c>
      <c r="H3473" t="s">
        <v>1549</v>
      </c>
      <c r="I3473">
        <v>629</v>
      </c>
      <c r="K3473" t="s">
        <v>864</v>
      </c>
      <c r="L3473" t="s">
        <v>5723</v>
      </c>
      <c r="M3473"/>
      <c r="N3473"/>
      <c r="O3473"/>
      <c r="P3473">
        <v>6</v>
      </c>
      <c r="Q3473">
        <v>3</v>
      </c>
      <c r="R3473">
        <v>67</v>
      </c>
      <c r="S3473" t="s">
        <v>1547</v>
      </c>
      <c r="V3473" s="49" t="s">
        <v>498</v>
      </c>
    </row>
    <row r="3474" spans="1:27" ht="12.75">
      <c r="A3474" s="51">
        <f t="shared" si="58"/>
        <v>134186</v>
      </c>
      <c r="B3474">
        <v>844</v>
      </c>
      <c r="C3474">
        <v>6</v>
      </c>
      <c r="D3474">
        <v>1817</v>
      </c>
      <c r="E3474">
        <v>12766</v>
      </c>
      <c r="H3474" t="s">
        <v>1549</v>
      </c>
      <c r="I3474">
        <v>134186</v>
      </c>
      <c r="K3474" t="s">
        <v>864</v>
      </c>
      <c r="L3474" t="s">
        <v>716</v>
      </c>
      <c r="M3474" t="s">
        <v>499</v>
      </c>
      <c r="N3474"/>
      <c r="O3474" t="s">
        <v>500</v>
      </c>
      <c r="P3474">
        <v>17</v>
      </c>
      <c r="Q3474">
        <v>1</v>
      </c>
      <c r="R3474" t="s">
        <v>868</v>
      </c>
      <c r="S3474" t="s">
        <v>867</v>
      </c>
      <c r="T3474" t="s">
        <v>501</v>
      </c>
      <c r="V3474" s="49" t="s">
        <v>502</v>
      </c>
      <c r="AA3474" s="49" t="s">
        <v>503</v>
      </c>
    </row>
    <row r="3475" spans="1:22" ht="12.75">
      <c r="A3475" s="51">
        <f t="shared" si="58"/>
        <v>131</v>
      </c>
      <c r="B3475">
        <v>844</v>
      </c>
      <c r="C3475">
        <v>6</v>
      </c>
      <c r="D3475">
        <v>1817</v>
      </c>
      <c r="E3475">
        <v>12767</v>
      </c>
      <c r="H3475" t="s">
        <v>850</v>
      </c>
      <c r="I3475">
        <v>131</v>
      </c>
      <c r="K3475" t="s">
        <v>864</v>
      </c>
      <c r="L3475" t="s">
        <v>3668</v>
      </c>
      <c r="M3475"/>
      <c r="N3475"/>
      <c r="O3475"/>
      <c r="P3475">
        <v>6</v>
      </c>
      <c r="Q3475">
        <v>4</v>
      </c>
      <c r="R3475">
        <v>61</v>
      </c>
      <c r="S3475" t="s">
        <v>867</v>
      </c>
      <c r="V3475" s="49" t="s">
        <v>504</v>
      </c>
    </row>
    <row r="3476" spans="1:22" ht="12.75">
      <c r="A3476" s="51">
        <f t="shared" si="58"/>
        <v>23847</v>
      </c>
      <c r="B3476">
        <v>844</v>
      </c>
      <c r="C3476">
        <v>6</v>
      </c>
      <c r="D3476">
        <v>1817</v>
      </c>
      <c r="E3476">
        <v>12768</v>
      </c>
      <c r="H3476" t="s">
        <v>850</v>
      </c>
      <c r="I3476">
        <v>23847</v>
      </c>
      <c r="K3476" t="s">
        <v>864</v>
      </c>
      <c r="L3476" t="s">
        <v>505</v>
      </c>
      <c r="M3476" t="s">
        <v>506</v>
      </c>
      <c r="N3476"/>
      <c r="O3476" t="s">
        <v>507</v>
      </c>
      <c r="P3476">
        <v>15</v>
      </c>
      <c r="Q3476">
        <v>1</v>
      </c>
      <c r="R3476">
        <v>72</v>
      </c>
      <c r="S3476" t="s">
        <v>1547</v>
      </c>
      <c r="T3476" t="s">
        <v>5710</v>
      </c>
      <c r="V3476" s="49" t="s">
        <v>508</v>
      </c>
    </row>
    <row r="3477" spans="1:22" ht="12.75">
      <c r="A3477" s="51">
        <f t="shared" si="58"/>
        <v>1063</v>
      </c>
      <c r="B3477">
        <v>844</v>
      </c>
      <c r="C3477">
        <v>6</v>
      </c>
      <c r="D3477">
        <v>1817</v>
      </c>
      <c r="E3477">
        <v>12769</v>
      </c>
      <c r="H3477" t="s">
        <v>850</v>
      </c>
      <c r="I3477">
        <v>1063</v>
      </c>
      <c r="J3477">
        <v>0</v>
      </c>
      <c r="K3477" t="s">
        <v>864</v>
      </c>
      <c r="L3477" t="s">
        <v>3644</v>
      </c>
      <c r="M3477"/>
      <c r="N3477"/>
      <c r="O3477"/>
      <c r="P3477">
        <v>4</v>
      </c>
      <c r="Q3477">
        <v>4</v>
      </c>
      <c r="R3477">
        <v>72</v>
      </c>
      <c r="S3477" t="s">
        <v>3329</v>
      </c>
      <c r="V3477" s="49" t="s">
        <v>509</v>
      </c>
    </row>
    <row r="3478" spans="1:22" ht="12.75">
      <c r="A3478" s="51">
        <f t="shared" si="58"/>
        <v>21425</v>
      </c>
      <c r="B3478">
        <v>844</v>
      </c>
      <c r="C3478">
        <v>6</v>
      </c>
      <c r="D3478">
        <v>1817</v>
      </c>
      <c r="E3478">
        <v>12770</v>
      </c>
      <c r="H3478" t="s">
        <v>850</v>
      </c>
      <c r="I3478">
        <v>21425</v>
      </c>
      <c r="K3478" t="s">
        <v>864</v>
      </c>
      <c r="L3478" t="s">
        <v>511</v>
      </c>
      <c r="M3478" t="s">
        <v>512</v>
      </c>
      <c r="N3478"/>
      <c r="O3478" t="s">
        <v>513</v>
      </c>
      <c r="P3478">
        <v>12</v>
      </c>
      <c r="Q3478">
        <v>6</v>
      </c>
      <c r="R3478" t="s">
        <v>868</v>
      </c>
      <c r="S3478" t="s">
        <v>3329</v>
      </c>
      <c r="T3478" t="s">
        <v>514</v>
      </c>
      <c r="V3478" s="49" t="s">
        <v>515</v>
      </c>
    </row>
    <row r="3479" spans="1:22" ht="12.75">
      <c r="A3479" s="51">
        <f t="shared" si="58"/>
        <v>521</v>
      </c>
      <c r="B3479">
        <v>844</v>
      </c>
      <c r="C3479">
        <v>6</v>
      </c>
      <c r="D3479">
        <v>1817</v>
      </c>
      <c r="E3479">
        <v>12771</v>
      </c>
      <c r="H3479" t="s">
        <v>850</v>
      </c>
      <c r="I3479">
        <v>521</v>
      </c>
      <c r="K3479" t="s">
        <v>864</v>
      </c>
      <c r="L3479" t="s">
        <v>5728</v>
      </c>
      <c r="M3479"/>
      <c r="N3479"/>
      <c r="O3479"/>
      <c r="P3479">
        <v>12</v>
      </c>
      <c r="Q3479">
        <v>5</v>
      </c>
      <c r="R3479">
        <v>75</v>
      </c>
      <c r="S3479" t="s">
        <v>867</v>
      </c>
      <c r="V3479" s="49" t="s">
        <v>521</v>
      </c>
    </row>
    <row r="3480" spans="1:22" ht="12.75">
      <c r="A3480" s="51">
        <f t="shared" si="58"/>
        <v>15474</v>
      </c>
      <c r="B3480">
        <v>844</v>
      </c>
      <c r="C3480">
        <v>6</v>
      </c>
      <c r="D3480">
        <v>1817</v>
      </c>
      <c r="E3480">
        <v>12772</v>
      </c>
      <c r="H3480" t="s">
        <v>850</v>
      </c>
      <c r="I3480">
        <v>15474</v>
      </c>
      <c r="K3480" t="s">
        <v>864</v>
      </c>
      <c r="L3480" t="s">
        <v>5728</v>
      </c>
      <c r="M3480"/>
      <c r="N3480"/>
      <c r="O3480"/>
      <c r="P3480">
        <v>8</v>
      </c>
      <c r="Q3480">
        <v>6</v>
      </c>
      <c r="R3480">
        <v>44</v>
      </c>
      <c r="S3480" t="s">
        <v>867</v>
      </c>
      <c r="V3480" s="49" t="s">
        <v>516</v>
      </c>
    </row>
    <row r="3481" spans="1:25" ht="12.75">
      <c r="A3481" s="51">
        <f t="shared" si="58"/>
        <v>233296</v>
      </c>
      <c r="B3481">
        <v>844</v>
      </c>
      <c r="C3481">
        <v>6</v>
      </c>
      <c r="D3481">
        <v>1817</v>
      </c>
      <c r="E3481">
        <v>12773</v>
      </c>
      <c r="H3481" t="s">
        <v>1549</v>
      </c>
      <c r="I3481">
        <v>120896</v>
      </c>
      <c r="J3481">
        <f>112400/20</f>
        <v>5620</v>
      </c>
      <c r="K3481" t="s">
        <v>864</v>
      </c>
      <c r="L3481" t="s">
        <v>517</v>
      </c>
      <c r="M3481" t="s">
        <v>518</v>
      </c>
      <c r="N3481" t="s">
        <v>519</v>
      </c>
      <c r="O3481" t="s">
        <v>520</v>
      </c>
      <c r="P3481">
        <v>8</v>
      </c>
      <c r="Q3481">
        <v>5</v>
      </c>
      <c r="R3481">
        <v>82</v>
      </c>
      <c r="S3481" t="s">
        <v>867</v>
      </c>
      <c r="T3481" t="s">
        <v>969</v>
      </c>
      <c r="V3481" s="49" t="s">
        <v>2637</v>
      </c>
      <c r="X3481">
        <v>1</v>
      </c>
      <c r="Y3481" t="s">
        <v>520</v>
      </c>
    </row>
    <row r="3482" spans="1:22" ht="12.75">
      <c r="A3482" s="51">
        <f t="shared" si="58"/>
        <v>60</v>
      </c>
      <c r="B3482">
        <v>845</v>
      </c>
      <c r="C3482">
        <v>6</v>
      </c>
      <c r="D3482">
        <v>1817</v>
      </c>
      <c r="E3482">
        <v>12774</v>
      </c>
      <c r="H3482" t="s">
        <v>850</v>
      </c>
      <c r="I3482">
        <v>60</v>
      </c>
      <c r="K3482" t="s">
        <v>864</v>
      </c>
      <c r="L3482" t="s">
        <v>551</v>
      </c>
      <c r="M3482"/>
      <c r="N3482"/>
      <c r="O3482"/>
      <c r="P3482">
        <v>15</v>
      </c>
      <c r="Q3482">
        <v>1</v>
      </c>
      <c r="R3482" t="s">
        <v>868</v>
      </c>
      <c r="S3482" t="s">
        <v>1547</v>
      </c>
      <c r="V3482" s="49" t="s">
        <v>510</v>
      </c>
    </row>
    <row r="3483" spans="1:22" ht="12.75">
      <c r="A3483" s="51">
        <f t="shared" si="58"/>
        <v>2696</v>
      </c>
      <c r="B3483">
        <v>845</v>
      </c>
      <c r="C3483">
        <v>6</v>
      </c>
      <c r="D3483">
        <v>1817</v>
      </c>
      <c r="E3483">
        <v>12775</v>
      </c>
      <c r="H3483" t="s">
        <v>1549</v>
      </c>
      <c r="I3483">
        <v>2696</v>
      </c>
      <c r="K3483" t="s">
        <v>864</v>
      </c>
      <c r="L3483" t="s">
        <v>5734</v>
      </c>
      <c r="M3483"/>
      <c r="N3483"/>
      <c r="O3483"/>
      <c r="P3483">
        <v>16</v>
      </c>
      <c r="Q3483">
        <v>4</v>
      </c>
      <c r="R3483" t="s">
        <v>868</v>
      </c>
      <c r="S3483" t="s">
        <v>1547</v>
      </c>
      <c r="V3483" s="49" t="s">
        <v>465</v>
      </c>
    </row>
    <row r="3484" spans="1:34" ht="12.75">
      <c r="A3484" s="51">
        <v>0</v>
      </c>
      <c r="B3484">
        <v>845</v>
      </c>
      <c r="C3484">
        <v>6</v>
      </c>
      <c r="D3484">
        <v>1817</v>
      </c>
      <c r="E3484">
        <v>12776</v>
      </c>
      <c r="H3484" t="s">
        <v>1549</v>
      </c>
      <c r="I3484" s="50" t="s">
        <v>463</v>
      </c>
      <c r="K3484" t="s">
        <v>864</v>
      </c>
      <c r="L3484" t="s">
        <v>5734</v>
      </c>
      <c r="M3484"/>
      <c r="N3484"/>
      <c r="O3484"/>
      <c r="P3484">
        <v>1</v>
      </c>
      <c r="Q3484">
        <v>5</v>
      </c>
      <c r="R3484">
        <v>61</v>
      </c>
      <c r="S3484" t="s">
        <v>1547</v>
      </c>
      <c r="V3484" s="49" t="s">
        <v>527</v>
      </c>
      <c r="AH3484" t="s">
        <v>463</v>
      </c>
    </row>
    <row r="3485" spans="1:22" ht="12.75">
      <c r="A3485" s="51">
        <f>I3485+J3485*20*X3485</f>
        <v>28372</v>
      </c>
      <c r="B3485">
        <v>845</v>
      </c>
      <c r="C3485">
        <v>6</v>
      </c>
      <c r="D3485">
        <v>1817</v>
      </c>
      <c r="E3485">
        <v>12777</v>
      </c>
      <c r="H3485" t="s">
        <v>1549</v>
      </c>
      <c r="I3485">
        <v>28372</v>
      </c>
      <c r="K3485" t="s">
        <v>864</v>
      </c>
      <c r="L3485" t="s">
        <v>522</v>
      </c>
      <c r="M3485" t="s">
        <v>523</v>
      </c>
      <c r="N3485" t="s">
        <v>524</v>
      </c>
      <c r="O3485" t="s">
        <v>525</v>
      </c>
      <c r="P3485">
        <v>9</v>
      </c>
      <c r="Q3485">
        <v>1</v>
      </c>
      <c r="R3485">
        <v>63</v>
      </c>
      <c r="S3485" t="s">
        <v>867</v>
      </c>
      <c r="T3485" t="s">
        <v>5671</v>
      </c>
      <c r="V3485" s="49" t="s">
        <v>526</v>
      </c>
    </row>
    <row r="3486" spans="1:22" ht="12.75">
      <c r="A3486" s="51"/>
      <c r="B3486">
        <v>846</v>
      </c>
      <c r="C3486">
        <v>6</v>
      </c>
      <c r="D3486">
        <v>1817</v>
      </c>
      <c r="E3486">
        <v>12778</v>
      </c>
      <c r="H3486" t="s">
        <v>1549</v>
      </c>
      <c r="I3486">
        <v>685</v>
      </c>
      <c r="K3486" t="s">
        <v>864</v>
      </c>
      <c r="L3486" t="s">
        <v>3645</v>
      </c>
      <c r="M3486"/>
      <c r="N3486"/>
      <c r="O3486"/>
      <c r="P3486">
        <v>26</v>
      </c>
      <c r="Q3486">
        <v>5</v>
      </c>
      <c r="R3486">
        <v>61</v>
      </c>
      <c r="S3486" t="s">
        <v>3343</v>
      </c>
      <c r="V3486" s="49" t="s">
        <v>2906</v>
      </c>
    </row>
    <row r="3487" spans="1:22" ht="12.75">
      <c r="A3487" s="51">
        <f>I3487+J3487*20*X3487</f>
        <v>181</v>
      </c>
      <c r="B3487">
        <v>847</v>
      </c>
      <c r="C3487">
        <v>6</v>
      </c>
      <c r="D3487">
        <v>1817</v>
      </c>
      <c r="E3487">
        <v>12779</v>
      </c>
      <c r="H3487" t="s">
        <v>850</v>
      </c>
      <c r="I3487">
        <v>181</v>
      </c>
      <c r="K3487" t="s">
        <v>864</v>
      </c>
      <c r="L3487" t="s">
        <v>528</v>
      </c>
      <c r="M3487"/>
      <c r="N3487"/>
      <c r="O3487"/>
      <c r="P3487">
        <v>25</v>
      </c>
      <c r="Q3487">
        <v>10</v>
      </c>
      <c r="R3487" t="s">
        <v>868</v>
      </c>
      <c r="S3487" t="s">
        <v>867</v>
      </c>
      <c r="V3487" s="49" t="s">
        <v>529</v>
      </c>
    </row>
    <row r="3488" spans="1:34" ht="12.75">
      <c r="A3488" s="51">
        <f>I3488+J3488*20*X3488</f>
        <v>2786985</v>
      </c>
      <c r="B3488" t="s">
        <v>530</v>
      </c>
      <c r="C3488">
        <v>6</v>
      </c>
      <c r="D3488">
        <v>1817</v>
      </c>
      <c r="E3488">
        <v>12780</v>
      </c>
      <c r="H3488" t="s">
        <v>1549</v>
      </c>
      <c r="I3488">
        <v>2646985</v>
      </c>
      <c r="J3488">
        <v>7000</v>
      </c>
      <c r="K3488" t="s">
        <v>867</v>
      </c>
      <c r="L3488" t="s">
        <v>2900</v>
      </c>
      <c r="M3488" t="s">
        <v>2901</v>
      </c>
      <c r="N3488" t="s">
        <v>1807</v>
      </c>
      <c r="O3488" t="s">
        <v>2902</v>
      </c>
      <c r="P3488">
        <v>4</v>
      </c>
      <c r="Q3488">
        <v>4</v>
      </c>
      <c r="R3488">
        <v>59</v>
      </c>
      <c r="S3488" t="s">
        <v>867</v>
      </c>
      <c r="T3488" t="s">
        <v>2455</v>
      </c>
      <c r="V3488" s="49" t="s">
        <v>2903</v>
      </c>
      <c r="X3488">
        <v>1</v>
      </c>
      <c r="Y3488" t="s">
        <v>2904</v>
      </c>
      <c r="AH3488" t="s">
        <v>2905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postel</dc:creator>
  <cp:keywords/>
  <dc:description>JL a noté : Ca c'est le bureau qu'on a fait tous ensemble et que j'ai fini (je=JL)
Pour 12 il faut y ajouter les valeur qu'on trouve dans les successions payées. Theoriquement, le fichier est trie dans l'ordre ou je dois trouver  les individus</dc:description>
  <cp:lastModifiedBy>J-L Rosenthal</cp:lastModifiedBy>
  <cp:lastPrinted>2002-04-19T08:22:14Z</cp:lastPrinted>
  <dcterms:created xsi:type="dcterms:W3CDTF">2002-02-10T15:41:44Z</dcterms:created>
  <dcterms:modified xsi:type="dcterms:W3CDTF">2005-05-27T20:41:06Z</dcterms:modified>
  <cp:category/>
  <cp:version/>
  <cp:contentType/>
  <cp:contentStatus/>
</cp:coreProperties>
</file>